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gonowski\Documents\HDR\Projects\Broward Build'18\Data\BCA\"/>
    </mc:Choice>
  </mc:AlternateContent>
  <bookViews>
    <workbookView xWindow="420" yWindow="4905" windowWidth="14940" windowHeight="2130" tabRatio="865" activeTab="1"/>
  </bookViews>
  <sheets>
    <sheet name="Monetized Values and Factors" sheetId="20" r:id="rId1"/>
    <sheet name="BCA Results" sheetId="34" r:id="rId2"/>
    <sheet name="InflationAdjustment" sheetId="21" r:id="rId3"/>
    <sheet name="Emissions - Truck" sheetId="22" r:id="rId4"/>
    <sheet name="Emissions - Rail" sheetId="26" r:id="rId5"/>
    <sheet name="Crash Rates" sheetId="23" r:id="rId6"/>
    <sheet name="Project Costs" sheetId="24" r:id="rId7"/>
    <sheet name="Other Factors" sheetId="28" r:id="rId8"/>
    <sheet name="Without Project Port Usage" sheetId="25" r:id="rId9"/>
    <sheet name="Trip Calculation" sheetId="18" r:id="rId10"/>
    <sheet name="VMT Ton-Mile Driver Time" sheetId="19" r:id="rId11"/>
    <sheet name="State of Good Repair" sheetId="27" r:id="rId12"/>
    <sheet name="Economic Competitiveness" sheetId="30" r:id="rId13"/>
    <sheet name="Environmental" sheetId="29" r:id="rId14"/>
    <sheet name=" Safety" sheetId="31" r:id="rId15"/>
    <sheet name="Summary of Benefits" sheetId="32" r:id="rId16"/>
    <sheet name="Summary of Costs" sheetId="33" r:id="rId17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536</definedName>
    <definedName name="_AtRisk_SimSetting_ReportOptionReportsFileType" hidden="1">1</definedName>
    <definedName name="_AtRisk_SimSetting_ReportOptionSelectiveQR" hidden="1">FALSE</definedName>
    <definedName name="_AtRisk_SimSetting_ReportsList" hidden="1">536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0.99</definedName>
    <definedName name="_ftn1" localSheetId="6">'Project Costs'!#REF!</definedName>
    <definedName name="_ftnref1" localSheetId="6">'Project Costs'!#REF!</definedName>
    <definedName name="dblStack" localSheetId="9">#REF!</definedName>
    <definedName name="dblStack">#REF!</definedName>
    <definedName name="domstackRate" localSheetId="9">#REF!</definedName>
    <definedName name="domstackRate">#REF!</definedName>
    <definedName name="intlstackRate" localSheetId="9">#REF!</definedName>
    <definedName name="intlstackRate">#REF!</definedName>
    <definedName name="maxLength" localSheetId="9">#REF!</definedName>
    <definedName name="maxLeng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1982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TRUE</definedName>
    <definedName name="RiskUseDifferentSeedForEachSim" hidden="1">FALSE</definedName>
    <definedName name="RiskUseFixedSeed" hidden="1">TRUE</definedName>
    <definedName name="RiskUseMultipleCPUs" hidden="1">FALSE</definedName>
    <definedName name="singleStack" localSheetId="9">#REF!</definedName>
    <definedName name="singleStack">#REF!</definedName>
  </definedNames>
  <calcPr calcId="152511" calcOnSave="0"/>
</workbook>
</file>

<file path=xl/calcChain.xml><?xml version="1.0" encoding="utf-8"?>
<calcChain xmlns="http://schemas.openxmlformats.org/spreadsheetml/2006/main">
  <c r="J37" i="32" l="1"/>
  <c r="G38" i="32"/>
  <c r="I7" i="34"/>
  <c r="K7" i="34"/>
  <c r="K6" i="34"/>
  <c r="H91" i="29" l="1"/>
  <c r="J4" i="33"/>
  <c r="K4" i="33"/>
  <c r="J5" i="33"/>
  <c r="J41" i="33" s="1"/>
  <c r="K5" i="33"/>
  <c r="K41" i="33" s="1"/>
  <c r="J6" i="33"/>
  <c r="K6" i="33"/>
  <c r="J7" i="33"/>
  <c r="K7" i="33"/>
  <c r="J8" i="33"/>
  <c r="K8" i="33"/>
  <c r="J9" i="33"/>
  <c r="K9" i="33"/>
  <c r="J10" i="33"/>
  <c r="K10" i="33"/>
  <c r="J11" i="33"/>
  <c r="K11" i="33"/>
  <c r="J12" i="33"/>
  <c r="K12" i="33"/>
  <c r="J13" i="33"/>
  <c r="K13" i="33"/>
  <c r="J14" i="33"/>
  <c r="K14" i="33"/>
  <c r="J15" i="33"/>
  <c r="K15" i="33"/>
  <c r="J16" i="33"/>
  <c r="K16" i="33"/>
  <c r="J17" i="33"/>
  <c r="K17" i="33"/>
  <c r="J18" i="33"/>
  <c r="K18" i="33"/>
  <c r="J19" i="33"/>
  <c r="K19" i="33"/>
  <c r="J20" i="33"/>
  <c r="K20" i="33"/>
  <c r="J21" i="33"/>
  <c r="K21" i="33"/>
  <c r="J22" i="33"/>
  <c r="K22" i="33"/>
  <c r="J23" i="33"/>
  <c r="K23" i="33"/>
  <c r="J24" i="33"/>
  <c r="K24" i="33"/>
  <c r="J25" i="33"/>
  <c r="K25" i="33"/>
  <c r="J26" i="33"/>
  <c r="K26" i="33"/>
  <c r="J27" i="33"/>
  <c r="K27" i="33"/>
  <c r="J28" i="33"/>
  <c r="K28" i="33"/>
  <c r="J29" i="33"/>
  <c r="K29" i="33"/>
  <c r="J30" i="33"/>
  <c r="K30" i="33"/>
  <c r="J31" i="33"/>
  <c r="K31" i="33"/>
  <c r="J32" i="33"/>
  <c r="K32" i="33"/>
  <c r="J33" i="33"/>
  <c r="K33" i="33"/>
  <c r="J34" i="33"/>
  <c r="K34" i="33"/>
  <c r="J35" i="33"/>
  <c r="K35" i="33"/>
  <c r="J36" i="33"/>
  <c r="K36" i="33"/>
  <c r="J37" i="33"/>
  <c r="K37" i="33"/>
  <c r="J38" i="33"/>
  <c r="K38" i="33"/>
  <c r="J39" i="33"/>
  <c r="K39" i="33"/>
  <c r="J40" i="33"/>
  <c r="K40" i="33"/>
  <c r="K3" i="33"/>
  <c r="J3" i="33"/>
  <c r="M12" i="20"/>
  <c r="P12" i="20"/>
  <c r="H4" i="33"/>
  <c r="H5" i="33"/>
  <c r="H6" i="33"/>
  <c r="H7" i="33"/>
  <c r="H8" i="33"/>
  <c r="H9" i="33"/>
  <c r="H10" i="33"/>
  <c r="H3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B21" i="23"/>
  <c r="B22" i="23" s="1"/>
  <c r="O101" i="20"/>
  <c r="O88" i="20"/>
  <c r="D11" i="24"/>
  <c r="T29" i="24"/>
  <c r="T34" i="24"/>
  <c r="T33" i="24"/>
  <c r="T32" i="24"/>
  <c r="T35" i="24" s="1"/>
  <c r="C28" i="21"/>
  <c r="F18" i="24"/>
  <c r="H18" i="24"/>
  <c r="G18" i="24"/>
  <c r="E18" i="24"/>
  <c r="D18" i="24"/>
  <c r="B11" i="24"/>
  <c r="C11" i="24" s="1"/>
  <c r="C22" i="24" s="1"/>
  <c r="C26" i="24"/>
  <c r="O7" i="24" s="1"/>
  <c r="E11" i="24"/>
  <c r="E22" i="24" s="1"/>
  <c r="E26" i="24" s="1"/>
  <c r="O9" i="24" s="1"/>
  <c r="B6" i="33" s="1"/>
  <c r="B47" i="18"/>
  <c r="B91" i="18" s="1"/>
  <c r="D3" i="18"/>
  <c r="B22" i="24"/>
  <c r="B26" i="24" s="1"/>
  <c r="O6" i="24" s="1"/>
  <c r="G11" i="24"/>
  <c r="G22" i="24" s="1"/>
  <c r="G26" i="24" s="1"/>
  <c r="O11" i="24" s="1"/>
  <c r="B8" i="33"/>
  <c r="G8" i="33" s="1"/>
  <c r="J11" i="24"/>
  <c r="J22" i="24" s="1"/>
  <c r="J26" i="24" s="1"/>
  <c r="O14" i="24" s="1"/>
  <c r="B11" i="33" s="1"/>
  <c r="C18" i="24"/>
  <c r="B4" i="33"/>
  <c r="G4" i="33" s="1"/>
  <c r="H11" i="24"/>
  <c r="H22" i="24" s="1"/>
  <c r="H26" i="24" s="1"/>
  <c r="O12" i="24" s="1"/>
  <c r="B9" i="33" s="1"/>
  <c r="D9" i="33" s="1"/>
  <c r="I11" i="24"/>
  <c r="I22" i="24"/>
  <c r="I26" i="24"/>
  <c r="O13" i="24" s="1"/>
  <c r="B10" i="33" s="1"/>
  <c r="D10" i="33" s="1"/>
  <c r="K11" i="24"/>
  <c r="K22" i="24"/>
  <c r="K26" i="24" s="1"/>
  <c r="O15" i="24" s="1"/>
  <c r="B12" i="33" s="1"/>
  <c r="F11" i="24"/>
  <c r="F22" i="24" s="1"/>
  <c r="F26" i="24" s="1"/>
  <c r="K7" i="24"/>
  <c r="B20" i="18"/>
  <c r="B11" i="18"/>
  <c r="D11" i="18" s="1"/>
  <c r="I11" i="18" s="1"/>
  <c r="B55" i="19" s="1"/>
  <c r="B12" i="18"/>
  <c r="B13" i="18"/>
  <c r="B14" i="18"/>
  <c r="B15" i="18"/>
  <c r="B16" i="18"/>
  <c r="B17" i="18"/>
  <c r="B18" i="18"/>
  <c r="B19" i="18"/>
  <c r="N33" i="20"/>
  <c r="M18" i="20"/>
  <c r="O18" i="20" s="1"/>
  <c r="M17" i="20"/>
  <c r="O17" i="20"/>
  <c r="M13" i="20"/>
  <c r="O6" i="20"/>
  <c r="M6" i="20"/>
  <c r="E41" i="20"/>
  <c r="O33" i="20" s="1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 s="1"/>
  <c r="N40" i="20"/>
  <c r="P91" i="20"/>
  <c r="P92" i="20"/>
  <c r="P93" i="20"/>
  <c r="P94" i="20"/>
  <c r="P95" i="20"/>
  <c r="P96" i="20"/>
  <c r="P97" i="20"/>
  <c r="M29" i="20"/>
  <c r="D9" i="23"/>
  <c r="D8" i="23"/>
  <c r="C9" i="23"/>
  <c r="C8" i="23"/>
  <c r="B9" i="23"/>
  <c r="B8" i="23"/>
  <c r="B23" i="21"/>
  <c r="E44" i="20"/>
  <c r="O36" i="20"/>
  <c r="E43" i="20"/>
  <c r="O35" i="20" s="1"/>
  <c r="E42" i="20"/>
  <c r="O34" i="20"/>
  <c r="D21" i="28"/>
  <c r="D23" i="28" s="1"/>
  <c r="D28" i="28"/>
  <c r="G29" i="28"/>
  <c r="G28" i="28" s="1"/>
  <c r="C28" i="28"/>
  <c r="B28" i="28"/>
  <c r="C34" i="28"/>
  <c r="B34" i="28"/>
  <c r="D17" i="28"/>
  <c r="D16" i="28"/>
  <c r="C17" i="28"/>
  <c r="B8" i="28"/>
  <c r="B16" i="28"/>
  <c r="B17" i="28"/>
  <c r="B5" i="28"/>
  <c r="BT29" i="22"/>
  <c r="BT30" i="22" s="1"/>
  <c r="BU29" i="22"/>
  <c r="BU30" i="22"/>
  <c r="BU31" i="22" s="1"/>
  <c r="BU32" i="22" s="1"/>
  <c r="BU33" i="22" s="1"/>
  <c r="BU34" i="22" s="1"/>
  <c r="BU35" i="22" s="1"/>
  <c r="BU36" i="22" s="1"/>
  <c r="BU37" i="22" s="1"/>
  <c r="BU38" i="22" s="1"/>
  <c r="BU39" i="22" s="1"/>
  <c r="BU40" i="22" s="1"/>
  <c r="BU41" i="22" s="1"/>
  <c r="BU42" i="22" s="1"/>
  <c r="BU43" i="22" s="1"/>
  <c r="BU44" i="22" s="1"/>
  <c r="BU45" i="22" s="1"/>
  <c r="BU46" i="22" s="1"/>
  <c r="BU47" i="22" s="1"/>
  <c r="BU48" i="22" s="1"/>
  <c r="BU49" i="22" s="1"/>
  <c r="BU50" i="22" s="1"/>
  <c r="BU51" i="22" s="1"/>
  <c r="BU52" i="22" s="1"/>
  <c r="BU53" i="22" s="1"/>
  <c r="BV29" i="22"/>
  <c r="BV30" i="22" s="1"/>
  <c r="BV31" i="22" s="1"/>
  <c r="BV32" i="22" s="1"/>
  <c r="BW29" i="22"/>
  <c r="BX29" i="22"/>
  <c r="BX30" i="22" s="1"/>
  <c r="BX31" i="22" s="1"/>
  <c r="BX32" i="22" s="1"/>
  <c r="BX33" i="22" s="1"/>
  <c r="BX34" i="22" s="1"/>
  <c r="BX35" i="22" s="1"/>
  <c r="BX36" i="22" s="1"/>
  <c r="BX37" i="22" s="1"/>
  <c r="BX38" i="22" s="1"/>
  <c r="BS29" i="22"/>
  <c r="BT9" i="22"/>
  <c r="BU9" i="22"/>
  <c r="BV9" i="22"/>
  <c r="BW9" i="22"/>
  <c r="BX9" i="22"/>
  <c r="BS9" i="22"/>
  <c r="BK29" i="22"/>
  <c r="BL29" i="22"/>
  <c r="BM29" i="22"/>
  <c r="BN29" i="22"/>
  <c r="BN54" i="22" s="1"/>
  <c r="BO29" i="22"/>
  <c r="BJ29" i="22"/>
  <c r="BJ30" i="22"/>
  <c r="BK9" i="22"/>
  <c r="BL9" i="22"/>
  <c r="BM9" i="22"/>
  <c r="BN9" i="22"/>
  <c r="BO9" i="22"/>
  <c r="BJ9" i="22"/>
  <c r="BB29" i="22"/>
  <c r="BC29" i="22"/>
  <c r="BC30" i="22"/>
  <c r="BC31" i="22" s="1"/>
  <c r="BC32" i="22" s="1"/>
  <c r="BC33" i="22" s="1"/>
  <c r="BC34" i="22"/>
  <c r="BC35" i="22" s="1"/>
  <c r="BC36" i="22" s="1"/>
  <c r="BC37" i="22" s="1"/>
  <c r="BC38" i="22" s="1"/>
  <c r="BC39" i="22" s="1"/>
  <c r="BC40" i="22" s="1"/>
  <c r="BC41" i="22" s="1"/>
  <c r="BC42" i="22" s="1"/>
  <c r="BC43" i="22" s="1"/>
  <c r="BC44" i="22" s="1"/>
  <c r="BC45" i="22" s="1"/>
  <c r="BC46" i="22" s="1"/>
  <c r="BC47" i="22" s="1"/>
  <c r="BC48" i="22" s="1"/>
  <c r="BC49" i="22" s="1"/>
  <c r="BC50" i="22" s="1"/>
  <c r="BC51" i="22" s="1"/>
  <c r="BC52" i="22" s="1"/>
  <c r="BC53" i="22" s="1"/>
  <c r="BD29" i="22"/>
  <c r="BE29" i="22"/>
  <c r="BF29" i="22"/>
  <c r="BA29" i="22"/>
  <c r="BB9" i="22"/>
  <c r="BC9" i="22"/>
  <c r="BD9" i="22"/>
  <c r="BE9" i="22"/>
  <c r="BF9" i="22"/>
  <c r="BA9" i="22"/>
  <c r="BA54" i="22" s="1"/>
  <c r="AS29" i="22"/>
  <c r="AT29" i="22"/>
  <c r="AT30" i="22"/>
  <c r="AT31" i="22" s="1"/>
  <c r="AT32" i="22" s="1"/>
  <c r="AT33" i="22" s="1"/>
  <c r="AT34" i="22"/>
  <c r="AT35" i="22" s="1"/>
  <c r="AT36" i="22" s="1"/>
  <c r="AT37" i="22" s="1"/>
  <c r="AT38" i="22" s="1"/>
  <c r="AT39" i="22" s="1"/>
  <c r="AT40" i="22" s="1"/>
  <c r="AT41" i="22" s="1"/>
  <c r="AT42" i="22"/>
  <c r="AT43" i="22" s="1"/>
  <c r="AT44" i="22" s="1"/>
  <c r="AT45" i="22" s="1"/>
  <c r="AT46" i="22" s="1"/>
  <c r="AT47" i="22" s="1"/>
  <c r="AT48" i="22" s="1"/>
  <c r="AT49" i="22" s="1"/>
  <c r="AT50" i="22" s="1"/>
  <c r="AT51" i="22" s="1"/>
  <c r="AT52" i="22" s="1"/>
  <c r="AT53" i="22" s="1"/>
  <c r="AU29" i="22"/>
  <c r="AV29" i="22"/>
  <c r="AW29" i="22"/>
  <c r="AR29" i="22"/>
  <c r="AR54" i="22"/>
  <c r="AS9" i="22"/>
  <c r="AT9" i="22"/>
  <c r="AU9" i="22"/>
  <c r="AV9" i="22"/>
  <c r="AW9" i="22"/>
  <c r="AR9" i="22"/>
  <c r="AJ29" i="22"/>
  <c r="AK29" i="22"/>
  <c r="AL29" i="22"/>
  <c r="AM29" i="22"/>
  <c r="AN29" i="22"/>
  <c r="AI29" i="22"/>
  <c r="AJ9" i="22"/>
  <c r="AJ54" i="22" s="1"/>
  <c r="AJ10" i="22" s="1"/>
  <c r="AJ11" i="22" s="1"/>
  <c r="AJ12" i="22" s="1"/>
  <c r="AJ13" i="22" s="1"/>
  <c r="AJ14" i="22" s="1"/>
  <c r="AJ15" i="22" s="1"/>
  <c r="AK9" i="22"/>
  <c r="AL9" i="22"/>
  <c r="AM9" i="22"/>
  <c r="AM54" i="22"/>
  <c r="AN9" i="22"/>
  <c r="AN54" i="22"/>
  <c r="AI9" i="22"/>
  <c r="AA29" i="22"/>
  <c r="AA30" i="22" s="1"/>
  <c r="AA31" i="22" s="1"/>
  <c r="AA32" i="22" s="1"/>
  <c r="AA33" i="22" s="1"/>
  <c r="AA34" i="22" s="1"/>
  <c r="AA35" i="22" s="1"/>
  <c r="AA36" i="22" s="1"/>
  <c r="AA37" i="22" s="1"/>
  <c r="AA38" i="22" s="1"/>
  <c r="AA39" i="22" s="1"/>
  <c r="AA40" i="22" s="1"/>
  <c r="AA41" i="22" s="1"/>
  <c r="AA42" i="22" s="1"/>
  <c r="AA43" i="22" s="1"/>
  <c r="AA44" i="22" s="1"/>
  <c r="AA45" i="22" s="1"/>
  <c r="AA46" i="22" s="1"/>
  <c r="AA47" i="22" s="1"/>
  <c r="AA48" i="22" s="1"/>
  <c r="AA49" i="22" s="1"/>
  <c r="AA50" i="22" s="1"/>
  <c r="AA51" i="22" s="1"/>
  <c r="AA52" i="22" s="1"/>
  <c r="AA53" i="22" s="1"/>
  <c r="AB29" i="22"/>
  <c r="AC29" i="22"/>
  <c r="AD29" i="22"/>
  <c r="AE29" i="22"/>
  <c r="Z29" i="22"/>
  <c r="AA9" i="22"/>
  <c r="AA54" i="22" s="1"/>
  <c r="AB9" i="22"/>
  <c r="AC9" i="22"/>
  <c r="AD9" i="22"/>
  <c r="AE9" i="22"/>
  <c r="Z9" i="22"/>
  <c r="C17" i="23"/>
  <c r="D17" i="23"/>
  <c r="B17" i="23"/>
  <c r="AE30" i="22"/>
  <c r="AE31" i="22" s="1"/>
  <c r="BN10" i="22"/>
  <c r="BN11" i="22" s="1"/>
  <c r="BN12" i="22" s="1"/>
  <c r="BN13" i="22" s="1"/>
  <c r="BN14" i="22"/>
  <c r="BN15" i="22" s="1"/>
  <c r="BN16" i="22" s="1"/>
  <c r="BN17" i="22" s="1"/>
  <c r="BN18" i="22" s="1"/>
  <c r="BN19" i="22" s="1"/>
  <c r="BN20" i="22" s="1"/>
  <c r="BN21" i="22" s="1"/>
  <c r="BN22" i="22"/>
  <c r="BN23" i="22" s="1"/>
  <c r="BN24" i="22" s="1"/>
  <c r="BN25" i="22" s="1"/>
  <c r="BN26" i="22" s="1"/>
  <c r="BN27" i="22" s="1"/>
  <c r="BN28" i="22" s="1"/>
  <c r="AT54" i="22"/>
  <c r="AT10" i="22"/>
  <c r="AT11" i="22" s="1"/>
  <c r="AT12" i="22" s="1"/>
  <c r="AT13" i="22" s="1"/>
  <c r="AT14" i="22"/>
  <c r="AT15" i="22" s="1"/>
  <c r="AT16" i="22" s="1"/>
  <c r="AT17" i="22" s="1"/>
  <c r="AT18" i="22" s="1"/>
  <c r="AT19" i="22" s="1"/>
  <c r="AT20" i="22" s="1"/>
  <c r="AT21" i="22" s="1"/>
  <c r="AT22" i="22" s="1"/>
  <c r="AT23" i="22" s="1"/>
  <c r="AT24" i="22" s="1"/>
  <c r="AT25" i="22" s="1"/>
  <c r="AT26" i="22" s="1"/>
  <c r="AT27" i="22" s="1"/>
  <c r="AT28" i="22" s="1"/>
  <c r="BV33" i="22"/>
  <c r="BV34" i="22" s="1"/>
  <c r="BV35" i="22" s="1"/>
  <c r="BV36" i="22" s="1"/>
  <c r="BV37" i="22" s="1"/>
  <c r="BV38" i="22" s="1"/>
  <c r="BV39" i="22" s="1"/>
  <c r="BV40" i="22" s="1"/>
  <c r="BV41" i="22" s="1"/>
  <c r="BV42" i="22" s="1"/>
  <c r="BV43" i="22" s="1"/>
  <c r="BV44" i="22" s="1"/>
  <c r="BV45" i="22" s="1"/>
  <c r="BV46" i="22" s="1"/>
  <c r="BV47" i="22" s="1"/>
  <c r="BV48" i="22" s="1"/>
  <c r="BV49" i="22" s="1"/>
  <c r="BV50" i="22" s="1"/>
  <c r="BV51" i="22" s="1"/>
  <c r="BV52" i="22" s="1"/>
  <c r="BV53" i="22" s="1"/>
  <c r="Z30" i="22"/>
  <c r="Z31" i="22" s="1"/>
  <c r="Z32" i="22" s="1"/>
  <c r="Z33" i="22" s="1"/>
  <c r="Z34" i="22" s="1"/>
  <c r="Z35" i="22" s="1"/>
  <c r="Z36" i="22" s="1"/>
  <c r="Z37" i="22"/>
  <c r="Z38" i="22" s="1"/>
  <c r="Z39" i="22" s="1"/>
  <c r="Z40" i="22" s="1"/>
  <c r="Z41" i="22" s="1"/>
  <c r="Z42" i="22" s="1"/>
  <c r="Z43" i="22" s="1"/>
  <c r="Z44" i="22" s="1"/>
  <c r="Z45" i="22" s="1"/>
  <c r="Z46" i="22" s="1"/>
  <c r="Z47" i="22" s="1"/>
  <c r="Z48" i="22" s="1"/>
  <c r="Z49" i="22" s="1"/>
  <c r="Z50" i="22" s="1"/>
  <c r="Z51" i="22" s="1"/>
  <c r="Z52" i="22" s="1"/>
  <c r="Z53" i="22"/>
  <c r="BT31" i="22"/>
  <c r="BT32" i="22" s="1"/>
  <c r="BT33" i="22" s="1"/>
  <c r="BT34" i="22" s="1"/>
  <c r="BT35" i="22"/>
  <c r="BT36" i="22" s="1"/>
  <c r="BT37" i="22" s="1"/>
  <c r="BT38" i="22" s="1"/>
  <c r="BT39" i="22" s="1"/>
  <c r="BT40" i="22" s="1"/>
  <c r="BT41" i="22" s="1"/>
  <c r="BT42" i="22" s="1"/>
  <c r="BT43" i="22"/>
  <c r="BT44" i="22" s="1"/>
  <c r="BT45" i="22" s="1"/>
  <c r="BT46" i="22" s="1"/>
  <c r="BT47" i="22" s="1"/>
  <c r="BT48" i="22" s="1"/>
  <c r="BT49" i="22" s="1"/>
  <c r="BT50" i="22" s="1"/>
  <c r="BT51" i="22" s="1"/>
  <c r="BT52" i="22" s="1"/>
  <c r="BT53" i="22" s="1"/>
  <c r="BX39" i="22"/>
  <c r="BX40" i="22" s="1"/>
  <c r="BX41" i="22" s="1"/>
  <c r="BX42" i="22" s="1"/>
  <c r="BX43" i="22" s="1"/>
  <c r="BX44" i="22" s="1"/>
  <c r="BX45" i="22" s="1"/>
  <c r="BX46" i="22" s="1"/>
  <c r="BX47" i="22" s="1"/>
  <c r="BX48" i="22" s="1"/>
  <c r="BX49" i="22" s="1"/>
  <c r="BX50" i="22" s="1"/>
  <c r="BX51" i="22" s="1"/>
  <c r="BX52" i="22" s="1"/>
  <c r="BX53" i="22" s="1"/>
  <c r="BJ31" i="22"/>
  <c r="BJ32" i="22"/>
  <c r="BJ33" i="22" s="1"/>
  <c r="BJ34" i="22" s="1"/>
  <c r="BJ35" i="22" s="1"/>
  <c r="BJ36" i="22" s="1"/>
  <c r="BJ37" i="22" s="1"/>
  <c r="BJ38" i="22" s="1"/>
  <c r="BJ39" i="22" s="1"/>
  <c r="BJ40" i="22" s="1"/>
  <c r="BJ41" i="22" s="1"/>
  <c r="BJ42" i="22" s="1"/>
  <c r="BJ43" i="22" s="1"/>
  <c r="BJ44" i="22"/>
  <c r="BJ45" i="22" s="1"/>
  <c r="BJ46" i="22" s="1"/>
  <c r="BJ47" i="22" s="1"/>
  <c r="BJ48" i="22" s="1"/>
  <c r="BJ49" i="22" s="1"/>
  <c r="BJ50" i="22" s="1"/>
  <c r="BJ51" i="22" s="1"/>
  <c r="BJ52" i="22" s="1"/>
  <c r="BJ53" i="22" s="1"/>
  <c r="BN30" i="22"/>
  <c r="BN31" i="22" s="1"/>
  <c r="BN32" i="22"/>
  <c r="BN33" i="22" s="1"/>
  <c r="BN34" i="22" s="1"/>
  <c r="BN35" i="22" s="1"/>
  <c r="BN36" i="22" s="1"/>
  <c r="BN37" i="22" s="1"/>
  <c r="BN38" i="22" s="1"/>
  <c r="BN39" i="22" s="1"/>
  <c r="BN40" i="22" s="1"/>
  <c r="BN41" i="22" s="1"/>
  <c r="BN42" i="22" s="1"/>
  <c r="BN43" i="22" s="1"/>
  <c r="BN44" i="22" s="1"/>
  <c r="BN45" i="22" s="1"/>
  <c r="BN46" i="22" s="1"/>
  <c r="BN47" i="22" s="1"/>
  <c r="BN48" i="22" s="1"/>
  <c r="BN49" i="22" s="1"/>
  <c r="BN50" i="22" s="1"/>
  <c r="BN51" i="22" s="1"/>
  <c r="BN52" i="22" s="1"/>
  <c r="BN53" i="22" s="1"/>
  <c r="BO30" i="22"/>
  <c r="BO31" i="22" s="1"/>
  <c r="BO32" i="22" s="1"/>
  <c r="BO33" i="22" s="1"/>
  <c r="BO34" i="22" s="1"/>
  <c r="BO35" i="22" s="1"/>
  <c r="BO36" i="22" s="1"/>
  <c r="BO37" i="22" s="1"/>
  <c r="BO38" i="22" s="1"/>
  <c r="BO39" i="22" s="1"/>
  <c r="BO40" i="22" s="1"/>
  <c r="BO41" i="22" s="1"/>
  <c r="BO42" i="22" s="1"/>
  <c r="BO43" i="22" s="1"/>
  <c r="BO44" i="22" s="1"/>
  <c r="BO45" i="22" s="1"/>
  <c r="BO46" i="22" s="1"/>
  <c r="BB30" i="22"/>
  <c r="BB31" i="22"/>
  <c r="BB32" i="22" s="1"/>
  <c r="BB33" i="22" s="1"/>
  <c r="BB34" i="22" s="1"/>
  <c r="BB35" i="22"/>
  <c r="BB36" i="22" s="1"/>
  <c r="BB37" i="22" s="1"/>
  <c r="BB38" i="22" s="1"/>
  <c r="BB39" i="22"/>
  <c r="BB40" i="22" s="1"/>
  <c r="BB41" i="22" s="1"/>
  <c r="BB42" i="22" s="1"/>
  <c r="BB43" i="22" s="1"/>
  <c r="BB44" i="22" s="1"/>
  <c r="BB45" i="22" s="1"/>
  <c r="BB46" i="22" s="1"/>
  <c r="BB47" i="22" s="1"/>
  <c r="BB48" i="22" s="1"/>
  <c r="BB49" i="22" s="1"/>
  <c r="BB50" i="22" s="1"/>
  <c r="BB51" i="22" s="1"/>
  <c r="BB52" i="22" s="1"/>
  <c r="BB53" i="22" s="1"/>
  <c r="BF30" i="22"/>
  <c r="BF31" i="22"/>
  <c r="BF32" i="22" s="1"/>
  <c r="BF33" i="22" s="1"/>
  <c r="BF34" i="22" s="1"/>
  <c r="BF35" i="22" s="1"/>
  <c r="BF36" i="22" s="1"/>
  <c r="BF37" i="22" s="1"/>
  <c r="BF38" i="22" s="1"/>
  <c r="BF39" i="22" s="1"/>
  <c r="BF40" i="22" s="1"/>
  <c r="BF41" i="22" s="1"/>
  <c r="BF42" i="22" s="1"/>
  <c r="BF43" i="22"/>
  <c r="BF44" i="22" s="1"/>
  <c r="BF45" i="22" s="1"/>
  <c r="BF46" i="22" s="1"/>
  <c r="BF47" i="22" s="1"/>
  <c r="BF48" i="22" s="1"/>
  <c r="BF49" i="22" s="1"/>
  <c r="BF50" i="22" s="1"/>
  <c r="BF51" i="22" s="1"/>
  <c r="BF52" i="22" s="1"/>
  <c r="BF53" i="22" s="1"/>
  <c r="BE30" i="22"/>
  <c r="BE31" i="22"/>
  <c r="BE32" i="22" s="1"/>
  <c r="BE33" i="22" s="1"/>
  <c r="BE34" i="22" s="1"/>
  <c r="BE35" i="22" s="1"/>
  <c r="BE36" i="22" s="1"/>
  <c r="BE37" i="22" s="1"/>
  <c r="BE38" i="22" s="1"/>
  <c r="BE39" i="22" s="1"/>
  <c r="BE40" i="22" s="1"/>
  <c r="BE41" i="22" s="1"/>
  <c r="BE42" i="22" s="1"/>
  <c r="BE43" i="22" s="1"/>
  <c r="BE44" i="22" s="1"/>
  <c r="BE45" i="22" s="1"/>
  <c r="BE46" i="22" s="1"/>
  <c r="BE47" i="22"/>
  <c r="BE48" i="22" s="1"/>
  <c r="BE49" i="22" s="1"/>
  <c r="BE50" i="22" s="1"/>
  <c r="BE51" i="22" s="1"/>
  <c r="BE52" i="22" s="1"/>
  <c r="BE53" i="22" s="1"/>
  <c r="BA30" i="22"/>
  <c r="BA31" i="22"/>
  <c r="BA32" i="22" s="1"/>
  <c r="BA33" i="22" s="1"/>
  <c r="BA34" i="22" s="1"/>
  <c r="BA35" i="22"/>
  <c r="BA36" i="22" s="1"/>
  <c r="BA37" i="22" s="1"/>
  <c r="BA38" i="22" s="1"/>
  <c r="BA39" i="22" s="1"/>
  <c r="BA40" i="22" s="1"/>
  <c r="BA41" i="22" s="1"/>
  <c r="BA42" i="22" s="1"/>
  <c r="BA43" i="22" s="1"/>
  <c r="BA44" i="22" s="1"/>
  <c r="BA45" i="22" s="1"/>
  <c r="BA46" i="22" s="1"/>
  <c r="BA47" i="22" s="1"/>
  <c r="BA48" i="22" s="1"/>
  <c r="BA49" i="22" s="1"/>
  <c r="BA50" i="22" s="1"/>
  <c r="BA51" i="22"/>
  <c r="BA52" i="22" s="1"/>
  <c r="BA53" i="22" s="1"/>
  <c r="AR10" i="22"/>
  <c r="AR11" i="22"/>
  <c r="AR12" i="22" s="1"/>
  <c r="AR13" i="22" s="1"/>
  <c r="AR14" i="22" s="1"/>
  <c r="AR15" i="22"/>
  <c r="AR16" i="22" s="1"/>
  <c r="AR17" i="22" s="1"/>
  <c r="AR18" i="22" s="1"/>
  <c r="AR19" i="22"/>
  <c r="AR20" i="22" s="1"/>
  <c r="AR21" i="22" s="1"/>
  <c r="AR22" i="22" s="1"/>
  <c r="AR23" i="22" s="1"/>
  <c r="AR24" i="22" s="1"/>
  <c r="AR25" i="22" s="1"/>
  <c r="AR26" i="22" s="1"/>
  <c r="AR27" i="22" s="1"/>
  <c r="AR28" i="22" s="1"/>
  <c r="AR30" i="22"/>
  <c r="AR31" i="22" s="1"/>
  <c r="AR32" i="22"/>
  <c r="AR33" i="22" s="1"/>
  <c r="AR34" i="22" s="1"/>
  <c r="AR35" i="22" s="1"/>
  <c r="AR36" i="22" s="1"/>
  <c r="AR37" i="22" s="1"/>
  <c r="AR38" i="22" s="1"/>
  <c r="AR39" i="22" s="1"/>
  <c r="AR40" i="22" s="1"/>
  <c r="AR41" i="22" s="1"/>
  <c r="AR42" i="22" s="1"/>
  <c r="AR43" i="22" s="1"/>
  <c r="AR44" i="22" s="1"/>
  <c r="AR45" i="22" s="1"/>
  <c r="AR46" i="22" s="1"/>
  <c r="AR47" i="22" s="1"/>
  <c r="AR48" i="22" s="1"/>
  <c r="AR49" i="22" s="1"/>
  <c r="AR50" i="22" s="1"/>
  <c r="AR51" i="22" s="1"/>
  <c r="AR52" i="22" s="1"/>
  <c r="AR53" i="22" s="1"/>
  <c r="AV30" i="22"/>
  <c r="AV31" i="22" s="1"/>
  <c r="AV32" i="22"/>
  <c r="AV33" i="22" s="1"/>
  <c r="AV34" i="22" s="1"/>
  <c r="AV35" i="22" s="1"/>
  <c r="AV36" i="22"/>
  <c r="AV37" i="22" s="1"/>
  <c r="AV38" i="22" s="1"/>
  <c r="AV39" i="22" s="1"/>
  <c r="AV40" i="22" s="1"/>
  <c r="AV41" i="22" s="1"/>
  <c r="AV42" i="22" s="1"/>
  <c r="AV43" i="22" s="1"/>
  <c r="AV44" i="22" s="1"/>
  <c r="AV45" i="22" s="1"/>
  <c r="AV46" i="22" s="1"/>
  <c r="AV47" i="22" s="1"/>
  <c r="AV48" i="22" s="1"/>
  <c r="AV49" i="22" s="1"/>
  <c r="AV50" i="22" s="1"/>
  <c r="AV51" i="22" s="1"/>
  <c r="AV52" i="22" s="1"/>
  <c r="AV53" i="22" s="1"/>
  <c r="AS30" i="22"/>
  <c r="AS31" i="22" s="1"/>
  <c r="AS32" i="22" s="1"/>
  <c r="AS33" i="22" s="1"/>
  <c r="AS34" i="22" s="1"/>
  <c r="AS35" i="22" s="1"/>
  <c r="AS36" i="22" s="1"/>
  <c r="AS37" i="22" s="1"/>
  <c r="AS38" i="22" s="1"/>
  <c r="AS39" i="22" s="1"/>
  <c r="AS40" i="22" s="1"/>
  <c r="AS41" i="22"/>
  <c r="AS42" i="22" s="1"/>
  <c r="AS43" i="22" s="1"/>
  <c r="AS44" i="22" s="1"/>
  <c r="AS45" i="22" s="1"/>
  <c r="AS46" i="22" s="1"/>
  <c r="AS47" i="22" s="1"/>
  <c r="AS48" i="22" s="1"/>
  <c r="AS49" i="22" s="1"/>
  <c r="AS50" i="22" s="1"/>
  <c r="AS51" i="22" s="1"/>
  <c r="AS52" i="22" s="1"/>
  <c r="AS53" i="22" s="1"/>
  <c r="AW30" i="22"/>
  <c r="AW31" i="22" s="1"/>
  <c r="AW32" i="22" s="1"/>
  <c r="AW33" i="22" s="1"/>
  <c r="AW34" i="22" s="1"/>
  <c r="AW35" i="22" s="1"/>
  <c r="AW36" i="22" s="1"/>
  <c r="AW37" i="22" s="1"/>
  <c r="AW38" i="22" s="1"/>
  <c r="AW39" i="22" s="1"/>
  <c r="AW40" i="22" s="1"/>
  <c r="AW41" i="22" s="1"/>
  <c r="AW42" i="22" s="1"/>
  <c r="AW43" i="22" s="1"/>
  <c r="AW44" i="22" s="1"/>
  <c r="AW45" i="22" s="1"/>
  <c r="AW46" i="22" s="1"/>
  <c r="AW47" i="22" s="1"/>
  <c r="AW48" i="22" s="1"/>
  <c r="AW49" i="22" s="1"/>
  <c r="AW50" i="22" s="1"/>
  <c r="AW51" i="22" s="1"/>
  <c r="AW52" i="22" s="1"/>
  <c r="AW53" i="22" s="1"/>
  <c r="AJ30" i="22"/>
  <c r="AJ31" i="22" s="1"/>
  <c r="AJ32" i="22" s="1"/>
  <c r="AJ33" i="22"/>
  <c r="AJ34" i="22" s="1"/>
  <c r="AJ35" i="22" s="1"/>
  <c r="AJ36" i="22" s="1"/>
  <c r="AJ37" i="22" s="1"/>
  <c r="AJ38" i="22" s="1"/>
  <c r="AJ39" i="22" s="1"/>
  <c r="AJ40" i="22" s="1"/>
  <c r="AJ41" i="22" s="1"/>
  <c r="AJ42" i="22" s="1"/>
  <c r="AJ43" i="22" s="1"/>
  <c r="AJ44" i="22" s="1"/>
  <c r="AJ45" i="22" s="1"/>
  <c r="AJ46" i="22" s="1"/>
  <c r="AJ47" i="22" s="1"/>
  <c r="AJ48" i="22" s="1"/>
  <c r="AJ49" i="22" s="1"/>
  <c r="AJ50" i="22" s="1"/>
  <c r="AJ51" i="22" s="1"/>
  <c r="AJ52" i="22" s="1"/>
  <c r="AJ53" i="22" s="1"/>
  <c r="AN30" i="22"/>
  <c r="AN31" i="22" s="1"/>
  <c r="AN32" i="22" s="1"/>
  <c r="AN33" i="22"/>
  <c r="AN34" i="22" s="1"/>
  <c r="AN35" i="22" s="1"/>
  <c r="AN36" i="22" s="1"/>
  <c r="AN37" i="22"/>
  <c r="AN38" i="22" s="1"/>
  <c r="AN39" i="22" s="1"/>
  <c r="AN40" i="22" s="1"/>
  <c r="AN41" i="22" s="1"/>
  <c r="AN42" i="22" s="1"/>
  <c r="AN43" i="22" s="1"/>
  <c r="AN44" i="22" s="1"/>
  <c r="AN45" i="22" s="1"/>
  <c r="AN46" i="22" s="1"/>
  <c r="AN47" i="22" s="1"/>
  <c r="AN48" i="22" s="1"/>
  <c r="AN49" i="22" s="1"/>
  <c r="AN50" i="22" s="1"/>
  <c r="AN51" i="22" s="1"/>
  <c r="AN52" i="22" s="1"/>
  <c r="AN53" i="22" s="1"/>
  <c r="AM30" i="22"/>
  <c r="AM31" i="22" s="1"/>
  <c r="AM32" i="22" s="1"/>
  <c r="AM33" i="22" s="1"/>
  <c r="AM34" i="22"/>
  <c r="AM35" i="22" s="1"/>
  <c r="AM36" i="22" s="1"/>
  <c r="AM37" i="22" s="1"/>
  <c r="AM38" i="22" s="1"/>
  <c r="AM39" i="22" s="1"/>
  <c r="AM40" i="22" s="1"/>
  <c r="AM41" i="22" s="1"/>
  <c r="AM42" i="22" s="1"/>
  <c r="AM43" i="22" s="1"/>
  <c r="AM44" i="22" s="1"/>
  <c r="AM45" i="22" s="1"/>
  <c r="AM46" i="22" s="1"/>
  <c r="AM47" i="22" s="1"/>
  <c r="AM48" i="22" s="1"/>
  <c r="AM49" i="22" s="1"/>
  <c r="AM50" i="22" s="1"/>
  <c r="AM51" i="22" s="1"/>
  <c r="AM52" i="22" s="1"/>
  <c r="AM53" i="22" s="1"/>
  <c r="AI30" i="22"/>
  <c r="AI31" i="22" s="1"/>
  <c r="AI32" i="22" s="1"/>
  <c r="AI33" i="22" s="1"/>
  <c r="AI34" i="22" s="1"/>
  <c r="AI35" i="22" s="1"/>
  <c r="AI36" i="22" s="1"/>
  <c r="AI37" i="22" s="1"/>
  <c r="AI38" i="22" s="1"/>
  <c r="AI39" i="22" s="1"/>
  <c r="AI40" i="22" s="1"/>
  <c r="AI41" i="22" s="1"/>
  <c r="AI42" i="22" s="1"/>
  <c r="AI43" i="22" s="1"/>
  <c r="AI44" i="22" s="1"/>
  <c r="AI45" i="22" s="1"/>
  <c r="AI46" i="22" s="1"/>
  <c r="AI47" i="22" s="1"/>
  <c r="AI48" i="22" s="1"/>
  <c r="AI49" i="22" s="1"/>
  <c r="AI50" i="22" s="1"/>
  <c r="AI51" i="22" s="1"/>
  <c r="AI52" i="22" s="1"/>
  <c r="AI53" i="22" s="1"/>
  <c r="AE32" i="22"/>
  <c r="AE33" i="22" s="1"/>
  <c r="AE34" i="22" s="1"/>
  <c r="AE35" i="22" s="1"/>
  <c r="AE36" i="22"/>
  <c r="AE37" i="22" s="1"/>
  <c r="AE38" i="22" s="1"/>
  <c r="AE39" i="22" s="1"/>
  <c r="AE40" i="22" s="1"/>
  <c r="AE41" i="22" s="1"/>
  <c r="AE42" i="22" s="1"/>
  <c r="AE43" i="22" s="1"/>
  <c r="AE44" i="22" s="1"/>
  <c r="AE45" i="22" s="1"/>
  <c r="AE46" i="22" s="1"/>
  <c r="AE47" i="22" s="1"/>
  <c r="AE48" i="22" s="1"/>
  <c r="AE49" i="22" s="1"/>
  <c r="AE50" i="22" s="1"/>
  <c r="AE51" i="22" s="1"/>
  <c r="AE52" i="22"/>
  <c r="AE53" i="22" s="1"/>
  <c r="C28" i="25"/>
  <c r="D28" i="25"/>
  <c r="C27" i="25"/>
  <c r="D27" i="25" s="1"/>
  <c r="C26" i="25"/>
  <c r="D26" i="25"/>
  <c r="C25" i="25"/>
  <c r="D25" i="25" s="1"/>
  <c r="C24" i="25"/>
  <c r="C23" i="25"/>
  <c r="C18" i="25"/>
  <c r="D18" i="25" s="1"/>
  <c r="C17" i="25"/>
  <c r="D17" i="25"/>
  <c r="C16" i="25"/>
  <c r="C15" i="25"/>
  <c r="D15" i="25" s="1"/>
  <c r="C14" i="25"/>
  <c r="D14" i="25"/>
  <c r="C13" i="25"/>
  <c r="D13" i="25" s="1"/>
  <c r="D5" i="25"/>
  <c r="C8" i="25"/>
  <c r="D8" i="25" s="1"/>
  <c r="C7" i="25"/>
  <c r="D7" i="25"/>
  <c r="C6" i="25"/>
  <c r="C4" i="25"/>
  <c r="D4" i="25" s="1"/>
  <c r="C3" i="25"/>
  <c r="D3" i="25"/>
  <c r="H28" i="25"/>
  <c r="I28" i="25" s="1"/>
  <c r="H27" i="25"/>
  <c r="I27" i="25"/>
  <c r="H26" i="25"/>
  <c r="I26" i="25" s="1"/>
  <c r="H25" i="25"/>
  <c r="I25" i="25"/>
  <c r="H23" i="25"/>
  <c r="H15" i="25"/>
  <c r="I15" i="25"/>
  <c r="H16" i="25"/>
  <c r="H17" i="25"/>
  <c r="I17" i="25" s="1"/>
  <c r="H18" i="25"/>
  <c r="I18" i="25"/>
  <c r="H13" i="25"/>
  <c r="I24" i="25"/>
  <c r="I14" i="25"/>
  <c r="J9" i="25"/>
  <c r="E22" i="28" s="1"/>
  <c r="J29" i="25"/>
  <c r="G22" i="28"/>
  <c r="J19" i="25"/>
  <c r="F22" i="28" s="1"/>
  <c r="I4" i="25"/>
  <c r="H5" i="25"/>
  <c r="I5" i="25"/>
  <c r="H6" i="25"/>
  <c r="I6" i="25" s="1"/>
  <c r="H7" i="25"/>
  <c r="I7" i="25" s="1"/>
  <c r="H8" i="25"/>
  <c r="I8" i="25"/>
  <c r="H3" i="25"/>
  <c r="K29" i="25"/>
  <c r="E29" i="25"/>
  <c r="K19" i="25"/>
  <c r="E19" i="25"/>
  <c r="E9" i="25"/>
  <c r="K9" i="25"/>
  <c r="B29" i="25"/>
  <c r="G15" i="28" s="1"/>
  <c r="B19" i="25"/>
  <c r="F15" i="28"/>
  <c r="B9" i="25"/>
  <c r="E15" i="28" s="1"/>
  <c r="B49" i="18"/>
  <c r="B93" i="18"/>
  <c r="B50" i="18"/>
  <c r="B94" i="18" s="1"/>
  <c r="B51" i="18"/>
  <c r="B52" i="18"/>
  <c r="B96" i="18"/>
  <c r="B53" i="18"/>
  <c r="B97" i="18"/>
  <c r="B54" i="18"/>
  <c r="B98" i="18"/>
  <c r="B56" i="18"/>
  <c r="B57" i="18"/>
  <c r="B101" i="18"/>
  <c r="B58" i="18"/>
  <c r="B102" i="18" s="1"/>
  <c r="B60" i="18"/>
  <c r="B104" i="18"/>
  <c r="B61" i="18"/>
  <c r="B105" i="18" s="1"/>
  <c r="B62" i="18"/>
  <c r="B106" i="18"/>
  <c r="B48" i="18"/>
  <c r="D5" i="18"/>
  <c r="I5" i="18" s="1"/>
  <c r="D6" i="18"/>
  <c r="I6" i="18" s="1"/>
  <c r="L6" i="18" s="1"/>
  <c r="D7" i="18"/>
  <c r="I7" i="18"/>
  <c r="D8" i="18"/>
  <c r="I8" i="18" s="1"/>
  <c r="D9" i="18"/>
  <c r="I9" i="18" s="1"/>
  <c r="D10" i="18"/>
  <c r="I10" i="18"/>
  <c r="D12" i="18"/>
  <c r="I12" i="18"/>
  <c r="D13" i="18"/>
  <c r="I13" i="18" s="1"/>
  <c r="L13" i="18" s="1"/>
  <c r="D14" i="18"/>
  <c r="I14" i="18"/>
  <c r="J14" i="18" s="1"/>
  <c r="C58" i="19" s="1"/>
  <c r="D16" i="18"/>
  <c r="I16" i="18" s="1"/>
  <c r="J16" i="18" s="1"/>
  <c r="C60" i="19" s="1"/>
  <c r="D17" i="18"/>
  <c r="I17" i="18" s="1"/>
  <c r="K17" i="18" s="1"/>
  <c r="D61" i="19" s="1"/>
  <c r="D20" i="18"/>
  <c r="I20" i="18" s="1"/>
  <c r="D4" i="18"/>
  <c r="B100" i="18"/>
  <c r="C14" i="18"/>
  <c r="E14" i="18" s="1"/>
  <c r="C9" i="18"/>
  <c r="E9" i="18"/>
  <c r="G9" i="18"/>
  <c r="C8" i="18"/>
  <c r="E8" i="18" s="1"/>
  <c r="C12" i="18"/>
  <c r="E12" i="18"/>
  <c r="C16" i="18"/>
  <c r="E16" i="18" s="1"/>
  <c r="C20" i="18"/>
  <c r="E20" i="18"/>
  <c r="C13" i="18"/>
  <c r="E13" i="18" s="1"/>
  <c r="F13" i="18" s="1"/>
  <c r="C7" i="18"/>
  <c r="E7" i="18" s="1"/>
  <c r="C17" i="18"/>
  <c r="E17" i="18"/>
  <c r="C6" i="18"/>
  <c r="E6" i="18" s="1"/>
  <c r="B7" i="19" s="1"/>
  <c r="C4" i="18"/>
  <c r="C10" i="18"/>
  <c r="E10" i="18" s="1"/>
  <c r="B11" i="19" s="1"/>
  <c r="C5" i="18"/>
  <c r="E5" i="18"/>
  <c r="M101" i="20"/>
  <c r="M102" i="20"/>
  <c r="M98" i="20"/>
  <c r="M89" i="20"/>
  <c r="O93" i="20"/>
  <c r="O94" i="20"/>
  <c r="O95" i="20"/>
  <c r="O96" i="20"/>
  <c r="O97" i="20"/>
  <c r="O92" i="20"/>
  <c r="M88" i="20"/>
  <c r="M37" i="20"/>
  <c r="N34" i="20"/>
  <c r="N35" i="20"/>
  <c r="N36" i="20"/>
  <c r="M19" i="20"/>
  <c r="M24" i="20"/>
  <c r="C4" i="23"/>
  <c r="B4" i="23"/>
  <c r="I3" i="25"/>
  <c r="H9" i="25"/>
  <c r="E21" i="28"/>
  <c r="BD30" i="22"/>
  <c r="BD31" i="22"/>
  <c r="BD32" i="22" s="1"/>
  <c r="BD33" i="22" s="1"/>
  <c r="BD34" i="22" s="1"/>
  <c r="BD35" i="22" s="1"/>
  <c r="BD36" i="22" s="1"/>
  <c r="BD37" i="22" s="1"/>
  <c r="BD38" i="22" s="1"/>
  <c r="BD39" i="22" s="1"/>
  <c r="BD40" i="22" s="1"/>
  <c r="BD41" i="22" s="1"/>
  <c r="BD42" i="22" s="1"/>
  <c r="BD43" i="22"/>
  <c r="BD44" i="22" s="1"/>
  <c r="BD45" i="22" s="1"/>
  <c r="BD46" i="22" s="1"/>
  <c r="BD47" i="22" s="1"/>
  <c r="BD48" i="22" s="1"/>
  <c r="BD49" i="22" s="1"/>
  <c r="BD50" i="22" s="1"/>
  <c r="BD51" i="22" s="1"/>
  <c r="BD52" i="22" s="1"/>
  <c r="BD53" i="22" s="1"/>
  <c r="BD54" i="22"/>
  <c r="BD10" i="22"/>
  <c r="BD11" i="22" s="1"/>
  <c r="BD12" i="22" s="1"/>
  <c r="BD13" i="22" s="1"/>
  <c r="BD14" i="22" s="1"/>
  <c r="BD15" i="22" s="1"/>
  <c r="BD16" i="22" s="1"/>
  <c r="BD17" i="22" s="1"/>
  <c r="BD18" i="22" s="1"/>
  <c r="BD19" i="22" s="1"/>
  <c r="BD20" i="22" s="1"/>
  <c r="BD21" i="22" s="1"/>
  <c r="BD22" i="22" s="1"/>
  <c r="BD23" i="22" s="1"/>
  <c r="BD24" i="22" s="1"/>
  <c r="BD25" i="22" s="1"/>
  <c r="BD26" i="22" s="1"/>
  <c r="BD27" i="22" s="1"/>
  <c r="BD28" i="22" s="1"/>
  <c r="BM30" i="22"/>
  <c r="BM31" i="22"/>
  <c r="BM32" i="22" s="1"/>
  <c r="BM33" i="22" s="1"/>
  <c r="BM34" i="22" s="1"/>
  <c r="BM35" i="22"/>
  <c r="BM36" i="22" s="1"/>
  <c r="BM37" i="22" s="1"/>
  <c r="BM38" i="22" s="1"/>
  <c r="BM39" i="22"/>
  <c r="BM40" i="22" s="1"/>
  <c r="BM41" i="22" s="1"/>
  <c r="BM42" i="22" s="1"/>
  <c r="BM43" i="22" s="1"/>
  <c r="BM44" i="22" s="1"/>
  <c r="BM45" i="22" s="1"/>
  <c r="BM46" i="22" s="1"/>
  <c r="BM47" i="22" s="1"/>
  <c r="BM48" i="22" s="1"/>
  <c r="BM49" i="22" s="1"/>
  <c r="BM50" i="22" s="1"/>
  <c r="BM51" i="22" s="1"/>
  <c r="BM52" i="22" s="1"/>
  <c r="BM53" i="22" s="1"/>
  <c r="BM54" i="22"/>
  <c r="BM10" i="22"/>
  <c r="BM11" i="22" s="1"/>
  <c r="BM12" i="22" s="1"/>
  <c r="BM13" i="22" s="1"/>
  <c r="BM14" i="22" s="1"/>
  <c r="AJ16" i="22"/>
  <c r="AJ17" i="22" s="1"/>
  <c r="AJ18" i="22" s="1"/>
  <c r="AJ19" i="22" s="1"/>
  <c r="AJ20" i="22"/>
  <c r="AJ21" i="22" s="1"/>
  <c r="AJ22" i="22" s="1"/>
  <c r="AJ23" i="22" s="1"/>
  <c r="AJ24" i="22" s="1"/>
  <c r="C16" i="28"/>
  <c r="D24" i="25"/>
  <c r="I13" i="25"/>
  <c r="AW54" i="22"/>
  <c r="AW10" i="22"/>
  <c r="AW11" i="22"/>
  <c r="AW12" i="22" s="1"/>
  <c r="AW13" i="22" s="1"/>
  <c r="AW14" i="22" s="1"/>
  <c r="AW15" i="22"/>
  <c r="AW16" i="22" s="1"/>
  <c r="AW17" i="22" s="1"/>
  <c r="AW18" i="22" s="1"/>
  <c r="AW19" i="22"/>
  <c r="AW20" i="22" s="1"/>
  <c r="AW21" i="22" s="1"/>
  <c r="AW22" i="22" s="1"/>
  <c r="AW23" i="22" s="1"/>
  <c r="AW24" i="22" s="1"/>
  <c r="AW25" i="22" s="1"/>
  <c r="AW26" i="22" s="1"/>
  <c r="AW27" i="22" s="1"/>
  <c r="AW28" i="22" s="1"/>
  <c r="Z54" i="22"/>
  <c r="Z10" i="22" s="1"/>
  <c r="Z11" i="22"/>
  <c r="Z12" i="22" s="1"/>
  <c r="Z13" i="22" s="1"/>
  <c r="Z14" i="22" s="1"/>
  <c r="Z15" i="22" s="1"/>
  <c r="Z16" i="22" s="1"/>
  <c r="Z17" i="22" s="1"/>
  <c r="Z18" i="22" s="1"/>
  <c r="Z19" i="22" s="1"/>
  <c r="Z20" i="22" s="1"/>
  <c r="Z21" i="22" s="1"/>
  <c r="Z22" i="22" s="1"/>
  <c r="Z23" i="22" s="1"/>
  <c r="Z24" i="22"/>
  <c r="Z25" i="22" s="1"/>
  <c r="Z26" i="22" s="1"/>
  <c r="Z27" i="22" s="1"/>
  <c r="Z28" i="22" s="1"/>
  <c r="AI54" i="22"/>
  <c r="AI10" i="22" s="1"/>
  <c r="AI11" i="22" s="1"/>
  <c r="AI12" i="22"/>
  <c r="AI13" i="22" s="1"/>
  <c r="AI14" i="22" s="1"/>
  <c r="AI15" i="22" s="1"/>
  <c r="AI16" i="22"/>
  <c r="AI17" i="22" s="1"/>
  <c r="AI18" i="22" s="1"/>
  <c r="AI19" i="22" s="1"/>
  <c r="AI20" i="22" s="1"/>
  <c r="AI21" i="22" s="1"/>
  <c r="AI22" i="22" s="1"/>
  <c r="AI23" i="22" s="1"/>
  <c r="AI24" i="22" s="1"/>
  <c r="AI25" i="22" s="1"/>
  <c r="AI26" i="22" s="1"/>
  <c r="AI27" i="22" s="1"/>
  <c r="AI28" i="22" s="1"/>
  <c r="B95" i="18"/>
  <c r="AC30" i="22"/>
  <c r="AC31" i="22"/>
  <c r="AC32" i="22"/>
  <c r="AC33" i="22" s="1"/>
  <c r="AC34" i="22" s="1"/>
  <c r="AC35" i="22" s="1"/>
  <c r="AC36" i="22"/>
  <c r="AC37" i="22" s="1"/>
  <c r="AC38" i="22" s="1"/>
  <c r="AC39" i="22" s="1"/>
  <c r="AC40" i="22" s="1"/>
  <c r="AC41" i="22" s="1"/>
  <c r="AC42" i="22" s="1"/>
  <c r="AC43" i="22" s="1"/>
  <c r="AC44" i="22" s="1"/>
  <c r="AC45" i="22" s="1"/>
  <c r="AC46" i="22" s="1"/>
  <c r="AC47" i="22" s="1"/>
  <c r="AC48" i="22" s="1"/>
  <c r="AC49" i="22" s="1"/>
  <c r="AC50" i="22" s="1"/>
  <c r="AC51" i="22" s="1"/>
  <c r="AC52" i="22" s="1"/>
  <c r="AC53" i="22" s="1"/>
  <c r="AC54" i="22"/>
  <c r="AC10" i="22"/>
  <c r="AC11" i="22"/>
  <c r="AC12" i="22" s="1"/>
  <c r="AC13" i="22" s="1"/>
  <c r="AC14" i="22" s="1"/>
  <c r="AC15" i="22"/>
  <c r="AC16" i="22" s="1"/>
  <c r="AC17" i="22" s="1"/>
  <c r="AC18" i="22" s="1"/>
  <c r="AC19" i="22" s="1"/>
  <c r="AC20" i="22" s="1"/>
  <c r="AC21" i="22" s="1"/>
  <c r="AC22" i="22" s="1"/>
  <c r="AC23" i="22" s="1"/>
  <c r="AC24" i="22" s="1"/>
  <c r="AC25" i="22" s="1"/>
  <c r="AC26" i="22" s="1"/>
  <c r="AC27" i="22" s="1"/>
  <c r="AC28" i="22" s="1"/>
  <c r="AN10" i="22"/>
  <c r="AN11" i="22"/>
  <c r="AN12" i="22"/>
  <c r="AN13" i="22" s="1"/>
  <c r="AN14" i="22" s="1"/>
  <c r="AN15" i="22" s="1"/>
  <c r="AN16" i="22"/>
  <c r="AN17" i="22" s="1"/>
  <c r="AN18" i="22" s="1"/>
  <c r="AN19" i="22" s="1"/>
  <c r="AN20" i="22"/>
  <c r="AN21" i="22" s="1"/>
  <c r="AN22" i="22" s="1"/>
  <c r="AN23" i="22" s="1"/>
  <c r="AN24" i="22" s="1"/>
  <c r="AN25" i="22" s="1"/>
  <c r="AK30" i="22"/>
  <c r="AK31" i="22"/>
  <c r="AK32" i="22"/>
  <c r="AK33" i="22" s="1"/>
  <c r="AK34" i="22" s="1"/>
  <c r="AK35" i="22" s="1"/>
  <c r="AK36" i="22" s="1"/>
  <c r="AK37" i="22" s="1"/>
  <c r="AK38" i="22" s="1"/>
  <c r="AK39" i="22" s="1"/>
  <c r="AK40" i="22" s="1"/>
  <c r="AK41" i="22" s="1"/>
  <c r="AK42" i="22" s="1"/>
  <c r="AK43" i="22" s="1"/>
  <c r="AK44" i="22" s="1"/>
  <c r="AK45" i="22" s="1"/>
  <c r="AK46" i="22" s="1"/>
  <c r="AK47" i="22" s="1"/>
  <c r="AK48" i="22" s="1"/>
  <c r="AK49" i="22" s="1"/>
  <c r="AK54" i="22"/>
  <c r="AK10" i="22" s="1"/>
  <c r="AK11" i="22" s="1"/>
  <c r="AK12" i="22" s="1"/>
  <c r="AK13" i="22" s="1"/>
  <c r="AK14" i="22" s="1"/>
  <c r="AK15" i="22" s="1"/>
  <c r="AK16" i="22" s="1"/>
  <c r="AK17" i="22" s="1"/>
  <c r="AK18" i="22" s="1"/>
  <c r="AK19" i="22" s="1"/>
  <c r="AK20" i="22" s="1"/>
  <c r="AK21" i="22" s="1"/>
  <c r="AK22" i="22" s="1"/>
  <c r="AK23" i="22" s="1"/>
  <c r="AS54" i="22"/>
  <c r="AS10" i="22" s="1"/>
  <c r="AS11" i="22" s="1"/>
  <c r="AS12" i="22" s="1"/>
  <c r="AS13" i="22"/>
  <c r="AS14" i="22" s="1"/>
  <c r="AS15" i="22" s="1"/>
  <c r="AS16" i="22" s="1"/>
  <c r="AS17" i="22" s="1"/>
  <c r="AS18" i="22" s="1"/>
  <c r="AS19" i="22" s="1"/>
  <c r="AS20" i="22" s="1"/>
  <c r="AS21" i="22" s="1"/>
  <c r="AS22" i="22" s="1"/>
  <c r="AS23" i="22" s="1"/>
  <c r="AS24" i="22" s="1"/>
  <c r="AS25" i="22" s="1"/>
  <c r="AS26" i="22" s="1"/>
  <c r="AS27" i="22" s="1"/>
  <c r="AS28" i="22" s="1"/>
  <c r="BA10" i="22"/>
  <c r="BA11" i="22" s="1"/>
  <c r="BA12" i="22" s="1"/>
  <c r="BA13" i="22" s="1"/>
  <c r="BA14" i="22" s="1"/>
  <c r="BA15" i="22" s="1"/>
  <c r="BA16" i="22" s="1"/>
  <c r="BA17" i="22" s="1"/>
  <c r="BA18" i="22" s="1"/>
  <c r="BA19" i="22" s="1"/>
  <c r="BA20" i="22" s="1"/>
  <c r="BA21" i="22" s="1"/>
  <c r="BA22" i="22" s="1"/>
  <c r="BA23" i="22" s="1"/>
  <c r="BA24" i="22" s="1"/>
  <c r="BA25" i="22" s="1"/>
  <c r="BA26" i="22" s="1"/>
  <c r="BA27" i="22" s="1"/>
  <c r="BA28" i="22" s="1"/>
  <c r="F29" i="28"/>
  <c r="BE54" i="22"/>
  <c r="BE10" i="22" s="1"/>
  <c r="BE11" i="22" s="1"/>
  <c r="BE12" i="22" s="1"/>
  <c r="BE13" i="22"/>
  <c r="BE14" i="22" s="1"/>
  <c r="BE15" i="22" s="1"/>
  <c r="BE16" i="22" s="1"/>
  <c r="BE17" i="22"/>
  <c r="BE18" i="22" s="1"/>
  <c r="BE19" i="22" s="1"/>
  <c r="BE20" i="22" s="1"/>
  <c r="BE21" i="22" s="1"/>
  <c r="BE22" i="22" s="1"/>
  <c r="BE23" i="22" s="1"/>
  <c r="BE24" i="22" s="1"/>
  <c r="BE25" i="22" s="1"/>
  <c r="BE26" i="22" s="1"/>
  <c r="BE27" i="22" s="1"/>
  <c r="BE28" i="22" s="1"/>
  <c r="BU54" i="22"/>
  <c r="BU10" i="22" s="1"/>
  <c r="BU11" i="22" s="1"/>
  <c r="BU12" i="22" s="1"/>
  <c r="BU13" i="22"/>
  <c r="BU14" i="22" s="1"/>
  <c r="BU15" i="22" s="1"/>
  <c r="BU16" i="22" s="1"/>
  <c r="BU17" i="22" s="1"/>
  <c r="BU18" i="22" s="1"/>
  <c r="BU19" i="22" s="1"/>
  <c r="BU20" i="22" s="1"/>
  <c r="BU21" i="22" s="1"/>
  <c r="BU22" i="22" s="1"/>
  <c r="BU23" i="22" s="1"/>
  <c r="BU24" i="22" s="1"/>
  <c r="BU25" i="22" s="1"/>
  <c r="BU26" i="22" s="1"/>
  <c r="BU27" i="22" s="1"/>
  <c r="BU28" i="22" s="1"/>
  <c r="F28" i="28"/>
  <c r="BL30" i="22"/>
  <c r="BL54" i="22"/>
  <c r="BL10" i="22"/>
  <c r="BL11" i="22"/>
  <c r="BL12" i="22" s="1"/>
  <c r="BL13" i="22" s="1"/>
  <c r="BL14" i="22" s="1"/>
  <c r="BT54" i="22"/>
  <c r="BT10" i="22" s="1"/>
  <c r="BT11" i="22" s="1"/>
  <c r="BT12" i="22" s="1"/>
  <c r="BT13" i="22"/>
  <c r="BT14" i="22" s="1"/>
  <c r="BT15" i="22" s="1"/>
  <c r="BT16" i="22" s="1"/>
  <c r="BT17" i="22"/>
  <c r="BT18" i="22" s="1"/>
  <c r="BT19" i="22" s="1"/>
  <c r="BT20" i="22" s="1"/>
  <c r="BT21" i="22" s="1"/>
  <c r="K14" i="18"/>
  <c r="B58" i="19"/>
  <c r="AJ25" i="22"/>
  <c r="AJ26" i="22" s="1"/>
  <c r="AJ27" i="22" s="1"/>
  <c r="AJ28" i="22" s="1"/>
  <c r="B8" i="19"/>
  <c r="H29" i="25"/>
  <c r="G21" i="28"/>
  <c r="I23" i="25"/>
  <c r="I16" i="25"/>
  <c r="H19" i="25"/>
  <c r="F21" i="28" s="1"/>
  <c r="AD54" i="22"/>
  <c r="AD10" i="22"/>
  <c r="AD11" i="22"/>
  <c r="AD12" i="22" s="1"/>
  <c r="AD13" i="22" s="1"/>
  <c r="AD14" i="22" s="1"/>
  <c r="AD15" i="22"/>
  <c r="AD30" i="22"/>
  <c r="AD31" i="22" s="1"/>
  <c r="AD32" i="22" s="1"/>
  <c r="AD33" i="22" s="1"/>
  <c r="AD34" i="22" s="1"/>
  <c r="AD35" i="22" s="1"/>
  <c r="AD36" i="22" s="1"/>
  <c r="AD37" i="22" s="1"/>
  <c r="AD38" i="22" s="1"/>
  <c r="AD39" i="22" s="1"/>
  <c r="AD40" i="22" s="1"/>
  <c r="AD41" i="22" s="1"/>
  <c r="AD42" i="22" s="1"/>
  <c r="AD43" i="22" s="1"/>
  <c r="AD44" i="22" s="1"/>
  <c r="AD45" i="22"/>
  <c r="AD46" i="22" s="1"/>
  <c r="AD47" i="22" s="1"/>
  <c r="AD48" i="22" s="1"/>
  <c r="AD49" i="22" s="1"/>
  <c r="AD50" i="22" s="1"/>
  <c r="AD51" i="22" s="1"/>
  <c r="AD52" i="22" s="1"/>
  <c r="AD53" i="22" s="1"/>
  <c r="BJ54" i="22"/>
  <c r="BJ10" i="22" s="1"/>
  <c r="BJ11" i="22" s="1"/>
  <c r="BJ12" i="22"/>
  <c r="BJ13" i="22" s="1"/>
  <c r="BJ14" i="22" s="1"/>
  <c r="BJ15" i="22" s="1"/>
  <c r="BJ16" i="22" s="1"/>
  <c r="BJ17" i="22" s="1"/>
  <c r="BJ18" i="22" s="1"/>
  <c r="BJ19" i="22" s="1"/>
  <c r="BJ20" i="22" s="1"/>
  <c r="BJ21" i="22" s="1"/>
  <c r="BJ22" i="22" s="1"/>
  <c r="BJ23" i="22" s="1"/>
  <c r="BJ24" i="22" s="1"/>
  <c r="BJ25" i="22" s="1"/>
  <c r="BJ26" i="22" s="1"/>
  <c r="BJ27" i="22" s="1"/>
  <c r="BJ28" i="22" s="1"/>
  <c r="BO54" i="22"/>
  <c r="BO10" i="22" s="1"/>
  <c r="BO11" i="22" s="1"/>
  <c r="BO12" i="22"/>
  <c r="BO13" i="22" s="1"/>
  <c r="BO14" i="22" s="1"/>
  <c r="BO15" i="22" s="1"/>
  <c r="BO16" i="22"/>
  <c r="BO17" i="22" s="1"/>
  <c r="BO18" i="22" s="1"/>
  <c r="BO19" i="22" s="1"/>
  <c r="BO20" i="22"/>
  <c r="BO21" i="22" s="1"/>
  <c r="BO22" i="22" s="1"/>
  <c r="BO23" i="22" s="1"/>
  <c r="BO24" i="22" s="1"/>
  <c r="BO25" i="22" s="1"/>
  <c r="BO26" i="22" s="1"/>
  <c r="BO27" i="22" s="1"/>
  <c r="BO28" i="22" s="1"/>
  <c r="BX54" i="22"/>
  <c r="BX10" i="22" s="1"/>
  <c r="BX11" i="22" s="1"/>
  <c r="BX12" i="22"/>
  <c r="BX13" i="22" s="1"/>
  <c r="BX14" i="22" s="1"/>
  <c r="BX15" i="22" s="1"/>
  <c r="BX16" i="22" s="1"/>
  <c r="BX17" i="22" s="1"/>
  <c r="BX18" i="22" s="1"/>
  <c r="BX19" i="22" s="1"/>
  <c r="BX20" i="22" s="1"/>
  <c r="BX21" i="22" s="1"/>
  <c r="BX22" i="22" s="1"/>
  <c r="BX23" i="22" s="1"/>
  <c r="BX24" i="22" s="1"/>
  <c r="AM10" i="22"/>
  <c r="AV54" i="22"/>
  <c r="AV10" i="22"/>
  <c r="AV11" i="22" s="1"/>
  <c r="AV12" i="22" s="1"/>
  <c r="AV13" i="22" s="1"/>
  <c r="AV14" i="22"/>
  <c r="AV15" i="22" s="1"/>
  <c r="AV16" i="22" s="1"/>
  <c r="AV17" i="22" s="1"/>
  <c r="AV18" i="22"/>
  <c r="AV19" i="22" s="1"/>
  <c r="AV20" i="22" s="1"/>
  <c r="AV21" i="22" s="1"/>
  <c r="AV22" i="22"/>
  <c r="AV23" i="22" s="1"/>
  <c r="AV24" i="22" s="1"/>
  <c r="AV25" i="22" s="1"/>
  <c r="AV26" i="22" s="1"/>
  <c r="AV27" i="22" s="1"/>
  <c r="AV28" i="22" s="1"/>
  <c r="C10" i="23"/>
  <c r="AD16" i="22"/>
  <c r="AD17" i="22" s="1"/>
  <c r="AD18" i="22" s="1"/>
  <c r="AD19" i="22" s="1"/>
  <c r="AD20" i="22"/>
  <c r="AD21" i="22" s="1"/>
  <c r="AD22" i="22" s="1"/>
  <c r="AD23" i="22" s="1"/>
  <c r="AD24" i="22" s="1"/>
  <c r="AD25" i="22" s="1"/>
  <c r="AD26" i="22" s="1"/>
  <c r="AD27" i="22" s="1"/>
  <c r="AD28" i="22" s="1"/>
  <c r="BL31" i="22"/>
  <c r="BL32" i="22" s="1"/>
  <c r="BL33" i="22" s="1"/>
  <c r="BL34" i="22"/>
  <c r="BL35" i="22" s="1"/>
  <c r="BL36" i="22" s="1"/>
  <c r="BL37" i="22" s="1"/>
  <c r="BL38" i="22" s="1"/>
  <c r="BL39" i="22" s="1"/>
  <c r="BL40" i="22" s="1"/>
  <c r="BL41" i="22" s="1"/>
  <c r="BL42" i="22" s="1"/>
  <c r="BL43" i="22" s="1"/>
  <c r="BL44" i="22" s="1"/>
  <c r="BL45" i="22" s="1"/>
  <c r="BL46" i="22" s="1"/>
  <c r="BL47" i="22" s="1"/>
  <c r="BL48" i="22" s="1"/>
  <c r="BL49" i="22" s="1"/>
  <c r="BL50" i="22"/>
  <c r="BL51" i="22" s="1"/>
  <c r="BL52" i="22" s="1"/>
  <c r="BL53" i="22" s="1"/>
  <c r="G7" i="18"/>
  <c r="D8" i="19" s="1"/>
  <c r="L14" i="18"/>
  <c r="E58" i="19"/>
  <c r="D18" i="18"/>
  <c r="I18" i="18" s="1"/>
  <c r="B62" i="19" s="1"/>
  <c r="B55" i="18"/>
  <c r="D19" i="18"/>
  <c r="I19" i="18"/>
  <c r="D15" i="18"/>
  <c r="I15" i="18" s="1"/>
  <c r="B63" i="18"/>
  <c r="B107" i="18"/>
  <c r="B50" i="19"/>
  <c r="H12" i="18"/>
  <c r="G12" i="18"/>
  <c r="D13" i="19" s="1"/>
  <c r="E4" i="18"/>
  <c r="B59" i="18"/>
  <c r="B103" i="18"/>
  <c r="C11" i="18"/>
  <c r="E11" i="18" s="1"/>
  <c r="I4" i="18"/>
  <c r="L4" i="18"/>
  <c r="E48" i="19" s="1"/>
  <c r="G17" i="18"/>
  <c r="D18" i="19" s="1"/>
  <c r="H17" i="18"/>
  <c r="E18" i="19"/>
  <c r="F17" i="18"/>
  <c r="C18" i="19" s="1"/>
  <c r="J11" i="18"/>
  <c r="C55" i="19"/>
  <c r="F55" i="19" s="1"/>
  <c r="K16" i="18"/>
  <c r="D60" i="19"/>
  <c r="B49" i="19"/>
  <c r="B14" i="19"/>
  <c r="G13" i="18"/>
  <c r="C14" i="19"/>
  <c r="H13" i="18"/>
  <c r="E14" i="19" s="1"/>
  <c r="J17" i="18"/>
  <c r="H61" i="19"/>
  <c r="C61" i="19"/>
  <c r="B61" i="19"/>
  <c r="L17" i="18"/>
  <c r="B53" i="19"/>
  <c r="K11" i="18"/>
  <c r="D55" i="19" s="1"/>
  <c r="B60" i="19"/>
  <c r="L11" i="18"/>
  <c r="E55" i="19"/>
  <c r="L16" i="18"/>
  <c r="E60" i="19" s="1"/>
  <c r="B18" i="19"/>
  <c r="J6" i="18"/>
  <c r="C50" i="19"/>
  <c r="E57" i="19"/>
  <c r="H16" i="18"/>
  <c r="E17" i="19"/>
  <c r="F16" i="18"/>
  <c r="B17" i="19"/>
  <c r="G16" i="18"/>
  <c r="H17" i="19" s="1"/>
  <c r="D17" i="19"/>
  <c r="J12" i="18"/>
  <c r="L12" i="18"/>
  <c r="K12" i="18"/>
  <c r="D56" i="19"/>
  <c r="B56" i="19"/>
  <c r="F6" i="18"/>
  <c r="H6" i="18"/>
  <c r="E7" i="19" s="1"/>
  <c r="G6" i="18"/>
  <c r="D7" i="19"/>
  <c r="F10" i="18"/>
  <c r="G10" i="18"/>
  <c r="D11" i="19"/>
  <c r="H10" i="18"/>
  <c r="E11" i="19" s="1"/>
  <c r="G8" i="18"/>
  <c r="D9" i="19"/>
  <c r="B9" i="19"/>
  <c r="H8" i="18"/>
  <c r="F8" i="18"/>
  <c r="K5" i="18"/>
  <c r="D49" i="19"/>
  <c r="B52" i="19"/>
  <c r="BO47" i="22"/>
  <c r="BO48" i="22" s="1"/>
  <c r="BO49" i="22" s="1"/>
  <c r="BO50" i="22"/>
  <c r="BO51" i="22"/>
  <c r="BO52" i="22" s="1"/>
  <c r="BO53" i="22" s="1"/>
  <c r="BW54" i="22"/>
  <c r="BW10" i="22"/>
  <c r="BW11" i="22" s="1"/>
  <c r="BW12" i="22" s="1"/>
  <c r="BW13" i="22"/>
  <c r="BW14" i="22"/>
  <c r="BW15" i="22" s="1"/>
  <c r="BW16" i="22" s="1"/>
  <c r="BW17" i="22" s="1"/>
  <c r="BW18" i="22" s="1"/>
  <c r="BW19" i="22" s="1"/>
  <c r="BW20" i="22" s="1"/>
  <c r="BW21" i="22" s="1"/>
  <c r="BW22" i="22"/>
  <c r="BW23" i="22" s="1"/>
  <c r="BW24" i="22" s="1"/>
  <c r="BW25" i="22" s="1"/>
  <c r="BW26" i="22" s="1"/>
  <c r="BW27" i="22" s="1"/>
  <c r="BW28" i="22" s="1"/>
  <c r="BW30" i="22"/>
  <c r="BW31" i="22"/>
  <c r="BW32" i="22" s="1"/>
  <c r="BW33" i="22" s="1"/>
  <c r="BW34" i="22" s="1"/>
  <c r="BW35" i="22" s="1"/>
  <c r="BW36" i="22" s="1"/>
  <c r="BW37" i="22" s="1"/>
  <c r="BW38" i="22" s="1"/>
  <c r="BW39" i="22"/>
  <c r="BW40" i="22" s="1"/>
  <c r="BW41" i="22" s="1"/>
  <c r="BW42" i="22" s="1"/>
  <c r="BW43" i="22" s="1"/>
  <c r="BW44" i="22" s="1"/>
  <c r="BW45" i="22" s="1"/>
  <c r="BW46" i="22" s="1"/>
  <c r="BW47" i="22"/>
  <c r="BW48" i="22" s="1"/>
  <c r="BW49" i="22" s="1"/>
  <c r="BW50" i="22" s="1"/>
  <c r="BW51" i="22" s="1"/>
  <c r="BW52" i="22" s="1"/>
  <c r="BW53" i="22" s="1"/>
  <c r="D10" i="19"/>
  <c r="F9" i="18"/>
  <c r="C10" i="19" s="1"/>
  <c r="B10" i="19"/>
  <c r="B6" i="19"/>
  <c r="G5" i="18"/>
  <c r="D6" i="19" s="1"/>
  <c r="K10" i="18"/>
  <c r="D54" i="19" s="1"/>
  <c r="BM15" i="22"/>
  <c r="BM16" i="22"/>
  <c r="BM17" i="22" s="1"/>
  <c r="BM18" i="22" s="1"/>
  <c r="BM19" i="22"/>
  <c r="BM20" i="22" s="1"/>
  <c r="BM21" i="22" s="1"/>
  <c r="BM22" i="22" s="1"/>
  <c r="BM23" i="22" s="1"/>
  <c r="BM24" i="22" s="1"/>
  <c r="BM25" i="22" s="1"/>
  <c r="BM26" i="22" s="1"/>
  <c r="BM27" i="22" s="1"/>
  <c r="BM28" i="22" s="1"/>
  <c r="H14" i="18"/>
  <c r="B15" i="19"/>
  <c r="J7" i="18"/>
  <c r="K6" i="18"/>
  <c r="D50" i="19"/>
  <c r="BC54" i="22"/>
  <c r="BC10" i="22"/>
  <c r="BC11" i="22" s="1"/>
  <c r="BC12" i="22" s="1"/>
  <c r="BC13" i="22"/>
  <c r="BC14" i="22"/>
  <c r="BC15" i="22" s="1"/>
  <c r="BC16" i="22" s="1"/>
  <c r="BC17" i="22" s="1"/>
  <c r="BC18" i="22" s="1"/>
  <c r="BC19" i="22" s="1"/>
  <c r="BC20" i="22" s="1"/>
  <c r="BC21" i="22" s="1"/>
  <c r="BC22" i="22" s="1"/>
  <c r="BC23" i="22" s="1"/>
  <c r="BC24" i="22" s="1"/>
  <c r="BC25" i="22" s="1"/>
  <c r="BC26" i="22" s="1"/>
  <c r="BC27" i="22" s="1"/>
  <c r="BC28" i="22" s="1"/>
  <c r="AA10" i="22"/>
  <c r="AA11" i="22"/>
  <c r="AA12" i="22" s="1"/>
  <c r="AA13" i="22" s="1"/>
  <c r="AA14" i="22" s="1"/>
  <c r="AA15" i="22" s="1"/>
  <c r="AA16" i="22" s="1"/>
  <c r="AA17" i="22" s="1"/>
  <c r="AA18" i="22" s="1"/>
  <c r="AA19" i="22" s="1"/>
  <c r="AA20" i="22" s="1"/>
  <c r="AA21" i="22" s="1"/>
  <c r="AA22" i="22" s="1"/>
  <c r="AA23" i="22" s="1"/>
  <c r="AA24" i="22" s="1"/>
  <c r="AA25" i="22" s="1"/>
  <c r="AA26" i="22" s="1"/>
  <c r="AA27" i="22" s="1"/>
  <c r="AA28" i="22" s="1"/>
  <c r="BF54" i="22"/>
  <c r="BF10" i="22"/>
  <c r="BF11" i="22" s="1"/>
  <c r="BF12" i="22" s="1"/>
  <c r="BF13" i="22" s="1"/>
  <c r="BF14" i="22" s="1"/>
  <c r="BF15" i="22" s="1"/>
  <c r="BF16" i="22" s="1"/>
  <c r="BF17" i="22" s="1"/>
  <c r="BF18" i="22" s="1"/>
  <c r="BF19" i="22" s="1"/>
  <c r="BF20" i="22" s="1"/>
  <c r="BF21" i="22" s="1"/>
  <c r="BF22" i="22" s="1"/>
  <c r="BF23" i="22" s="1"/>
  <c r="BF24" i="22" s="1"/>
  <c r="BF25" i="22" s="1"/>
  <c r="BF26" i="22" s="1"/>
  <c r="BF27" i="22" s="1"/>
  <c r="BF28" i="22" s="1"/>
  <c r="E29" i="28"/>
  <c r="D60" i="18" s="1"/>
  <c r="K4" i="18"/>
  <c r="D48" i="19"/>
  <c r="H4" i="18"/>
  <c r="G4" i="18"/>
  <c r="D5" i="19"/>
  <c r="F4" i="18"/>
  <c r="B5" i="19"/>
  <c r="J4" i="18"/>
  <c r="C48" i="19" s="1"/>
  <c r="F48" i="19" s="1"/>
  <c r="G48" i="19" s="1"/>
  <c r="E5" i="29" s="1"/>
  <c r="J5" i="29" s="1"/>
  <c r="H18" i="19"/>
  <c r="E17" i="30" s="1"/>
  <c r="H55" i="19"/>
  <c r="C9" i="19"/>
  <c r="C56" i="19"/>
  <c r="C17" i="19"/>
  <c r="D58" i="18"/>
  <c r="AK50" i="22"/>
  <c r="AK51" i="22" s="1"/>
  <c r="AK52" i="22" s="1"/>
  <c r="AK53" i="22" s="1"/>
  <c r="E15" i="19"/>
  <c r="D63" i="18"/>
  <c r="E5" i="19"/>
  <c r="BX25" i="22"/>
  <c r="BX26" i="22" s="1"/>
  <c r="BX27" i="22" s="1"/>
  <c r="BX28" i="22" s="1"/>
  <c r="BL15" i="22"/>
  <c r="BL16" i="22"/>
  <c r="BL17" i="22"/>
  <c r="BL18" i="22" s="1"/>
  <c r="AM11" i="22"/>
  <c r="C51" i="19"/>
  <c r="K19" i="18"/>
  <c r="D63" i="19"/>
  <c r="B63" i="19"/>
  <c r="D62" i="18"/>
  <c r="D49" i="18"/>
  <c r="D56" i="18"/>
  <c r="D100" i="18" s="1"/>
  <c r="D61" i="18"/>
  <c r="J20" i="18"/>
  <c r="K20" i="18"/>
  <c r="D64" i="19"/>
  <c r="L20" i="18"/>
  <c r="E64" i="19"/>
  <c r="B64" i="19"/>
  <c r="B57" i="19"/>
  <c r="J13" i="18"/>
  <c r="C57" i="19"/>
  <c r="L9" i="18"/>
  <c r="E53" i="19"/>
  <c r="J9" i="18"/>
  <c r="K9" i="18"/>
  <c r="D53" i="19"/>
  <c r="B51" i="19"/>
  <c r="K7" i="18"/>
  <c r="D51" i="19"/>
  <c r="L7" i="18"/>
  <c r="E51" i="19"/>
  <c r="F51" i="19" s="1"/>
  <c r="B92" i="18"/>
  <c r="D48" i="18"/>
  <c r="E28" i="28"/>
  <c r="D54" i="18"/>
  <c r="E61" i="19"/>
  <c r="F61" i="19" s="1"/>
  <c r="H48" i="19"/>
  <c r="E9" i="19"/>
  <c r="H9" i="19"/>
  <c r="E13" i="19"/>
  <c r="L18" i="18"/>
  <c r="J18" i="18"/>
  <c r="K18" i="18"/>
  <c r="D62" i="19"/>
  <c r="F62" i="19" s="1"/>
  <c r="D58" i="19"/>
  <c r="H58" i="19"/>
  <c r="H5" i="18"/>
  <c r="E6" i="19"/>
  <c r="F5" i="18"/>
  <c r="D23" i="25"/>
  <c r="D29" i="25"/>
  <c r="G16" i="28"/>
  <c r="C29" i="25"/>
  <c r="G17" i="28" s="1"/>
  <c r="B10" i="23"/>
  <c r="D10" i="23"/>
  <c r="BS54" i="22"/>
  <c r="BS10" i="22"/>
  <c r="BS11" i="22" s="1"/>
  <c r="BS12" i="22" s="1"/>
  <c r="BS13" i="22" s="1"/>
  <c r="BS14" i="22"/>
  <c r="BS15" i="22" s="1"/>
  <c r="BS16" i="22" s="1"/>
  <c r="BS17" i="22" s="1"/>
  <c r="BS18" i="22" s="1"/>
  <c r="BS19" i="22" s="1"/>
  <c r="BS20" i="22" s="1"/>
  <c r="BS21" i="22" s="1"/>
  <c r="BS22" i="22" s="1"/>
  <c r="BS23" i="22" s="1"/>
  <c r="BS24" i="22" s="1"/>
  <c r="BS25" i="22" s="1"/>
  <c r="BS26" i="22" s="1"/>
  <c r="BS27" i="22" s="1"/>
  <c r="BS28" i="22" s="1"/>
  <c r="BS30" i="22"/>
  <c r="BS31" i="22"/>
  <c r="BS32" i="22" s="1"/>
  <c r="BS33" i="22" s="1"/>
  <c r="BS34" i="22" s="1"/>
  <c r="BS35" i="22" s="1"/>
  <c r="BS36" i="22" s="1"/>
  <c r="BS37" i="22" s="1"/>
  <c r="BS38" i="22" s="1"/>
  <c r="BS39" i="22" s="1"/>
  <c r="BS40" i="22" s="1"/>
  <c r="BS41" i="22" s="1"/>
  <c r="BS42" i="22" s="1"/>
  <c r="BS43" i="22" s="1"/>
  <c r="BS44" i="22" s="1"/>
  <c r="BS45" i="22" s="1"/>
  <c r="BS46" i="22" s="1"/>
  <c r="BS47" i="22" s="1"/>
  <c r="BS48" i="22" s="1"/>
  <c r="BS49" i="22" s="1"/>
  <c r="BS50" i="22" s="1"/>
  <c r="BS51" i="22" s="1"/>
  <c r="BS52" i="22" s="1"/>
  <c r="BS53" i="22" s="1"/>
  <c r="AL30" i="22"/>
  <c r="AL31" i="22"/>
  <c r="AL32" i="22" s="1"/>
  <c r="AL33" i="22" s="1"/>
  <c r="AL34" i="22" s="1"/>
  <c r="AL35" i="22" s="1"/>
  <c r="AL36" i="22" s="1"/>
  <c r="AL37" i="22" s="1"/>
  <c r="AL38" i="22" s="1"/>
  <c r="AL39" i="22" s="1"/>
  <c r="AL40" i="22" s="1"/>
  <c r="AL41" i="22" s="1"/>
  <c r="AL42" i="22" s="1"/>
  <c r="AL43" i="22" s="1"/>
  <c r="AL44" i="22" s="1"/>
  <c r="AL45" i="22" s="1"/>
  <c r="AL46" i="22" s="1"/>
  <c r="AL47" i="22"/>
  <c r="AL48" i="22" s="1"/>
  <c r="AL49" i="22" s="1"/>
  <c r="AL50" i="22" s="1"/>
  <c r="AL51" i="22" s="1"/>
  <c r="AL52" i="22" s="1"/>
  <c r="AL53" i="22" s="1"/>
  <c r="AL54" i="22"/>
  <c r="AL10" i="22"/>
  <c r="BV54" i="22"/>
  <c r="BV10" i="22" s="1"/>
  <c r="BV11" i="22" s="1"/>
  <c r="BV12" i="22" s="1"/>
  <c r="BV13" i="22" s="1"/>
  <c r="BV14" i="22" s="1"/>
  <c r="BV15" i="22" s="1"/>
  <c r="BV16" i="22" s="1"/>
  <c r="BV17" i="22" s="1"/>
  <c r="BV18" i="22" s="1"/>
  <c r="BV19" i="22" s="1"/>
  <c r="BV20" i="22" s="1"/>
  <c r="BV21" i="22" s="1"/>
  <c r="BV22" i="22" s="1"/>
  <c r="BV23" i="22" s="1"/>
  <c r="BV24" i="22"/>
  <c r="BV25" i="22" s="1"/>
  <c r="BV26" i="22" s="1"/>
  <c r="BV27" i="22" s="1"/>
  <c r="BV28" i="22" s="1"/>
  <c r="G6" i="33"/>
  <c r="D6" i="33"/>
  <c r="L6" i="33" s="1"/>
  <c r="G12" i="33"/>
  <c r="G11" i="33"/>
  <c r="C3" i="18"/>
  <c r="C18" i="18"/>
  <c r="E18" i="18"/>
  <c r="O10" i="24"/>
  <c r="D4" i="33"/>
  <c r="L4" i="33" s="1"/>
  <c r="C19" i="18"/>
  <c r="E19" i="18" s="1"/>
  <c r="C15" i="18"/>
  <c r="E15" i="18"/>
  <c r="I3" i="18"/>
  <c r="T36" i="24"/>
  <c r="B3" i="33"/>
  <c r="G3" i="33" s="1"/>
  <c r="D98" i="18"/>
  <c r="I54" i="18"/>
  <c r="I56" i="18"/>
  <c r="E4" i="33"/>
  <c r="G15" i="18"/>
  <c r="D16" i="19" s="1"/>
  <c r="H6" i="19"/>
  <c r="C6" i="19"/>
  <c r="C62" i="19"/>
  <c r="C54" i="18"/>
  <c r="E54" i="18" s="1"/>
  <c r="C52" i="18"/>
  <c r="C58" i="18"/>
  <c r="E58" i="18" s="1"/>
  <c r="I61" i="18"/>
  <c r="D105" i="18"/>
  <c r="D93" i="18"/>
  <c r="I49" i="18"/>
  <c r="H51" i="19"/>
  <c r="E3" i="18"/>
  <c r="F3" i="18" s="1"/>
  <c r="AK24" i="22"/>
  <c r="AK25" i="22" s="1"/>
  <c r="AK26" i="22" s="1"/>
  <c r="AK27" i="22" s="1"/>
  <c r="AK28" i="22" s="1"/>
  <c r="B47" i="19"/>
  <c r="J3" i="18"/>
  <c r="K3" i="18"/>
  <c r="L3" i="18"/>
  <c r="E47" i="19" s="1"/>
  <c r="E6" i="33"/>
  <c r="C53" i="19"/>
  <c r="F53" i="19" s="1"/>
  <c r="H53" i="19"/>
  <c r="AM12" i="22"/>
  <c r="BL19" i="22"/>
  <c r="BL20" i="22" s="1"/>
  <c r="BL21" i="22" s="1"/>
  <c r="J56" i="18"/>
  <c r="L56" i="18"/>
  <c r="L100" i="18" s="1"/>
  <c r="D47" i="19"/>
  <c r="H3" i="18"/>
  <c r="B4" i="19"/>
  <c r="G3" i="18"/>
  <c r="J61" i="18"/>
  <c r="I54" i="19"/>
  <c r="L54" i="18"/>
  <c r="K54" i="18"/>
  <c r="J54" i="18"/>
  <c r="I98" i="18"/>
  <c r="AM13" i="22"/>
  <c r="J49" i="18"/>
  <c r="I93" i="18"/>
  <c r="L49" i="18"/>
  <c r="K49" i="18"/>
  <c r="I49" i="19"/>
  <c r="K93" i="18"/>
  <c r="K49" i="19"/>
  <c r="L54" i="19"/>
  <c r="D4" i="19"/>
  <c r="L56" i="19"/>
  <c r="AM14" i="22"/>
  <c r="AM15" i="22" s="1"/>
  <c r="E4" i="19"/>
  <c r="F54" i="18"/>
  <c r="K11" i="19" s="1"/>
  <c r="J49" i="19"/>
  <c r="M49" i="19" s="1"/>
  <c r="N49" i="19" s="1"/>
  <c r="K98" i="18"/>
  <c r="K54" i="19"/>
  <c r="AM16" i="22"/>
  <c r="AM17" i="22" s="1"/>
  <c r="N4" i="31"/>
  <c r="J11" i="19"/>
  <c r="L49" i="19"/>
  <c r="C4" i="19"/>
  <c r="H4" i="19"/>
  <c r="N9" i="31"/>
  <c r="G53" i="19"/>
  <c r="C102" i="18"/>
  <c r="AL11" i="22"/>
  <c r="AL12" i="22"/>
  <c r="AL13" i="22"/>
  <c r="C64" i="19"/>
  <c r="F64" i="19" s="1"/>
  <c r="H64" i="19"/>
  <c r="J105" i="18"/>
  <c r="J61" i="19"/>
  <c r="H5" i="19"/>
  <c r="E4" i="30"/>
  <c r="C5" i="19"/>
  <c r="D14" i="19"/>
  <c r="H14" i="19"/>
  <c r="B12" i="19"/>
  <c r="H11" i="18"/>
  <c r="E12" i="19"/>
  <c r="G11" i="18"/>
  <c r="F11" i="18"/>
  <c r="G9" i="29"/>
  <c r="L9" i="29" s="1"/>
  <c r="F9" i="29"/>
  <c r="K9" i="29"/>
  <c r="F9" i="19"/>
  <c r="E62" i="19"/>
  <c r="H62" i="19"/>
  <c r="F60" i="19"/>
  <c r="J15" i="18"/>
  <c r="K15" i="18"/>
  <c r="L15" i="18"/>
  <c r="E59" i="19" s="1"/>
  <c r="B59" i="19"/>
  <c r="B21" i="19"/>
  <c r="F20" i="18"/>
  <c r="C21" i="19" s="1"/>
  <c r="H20" i="18"/>
  <c r="E21" i="19" s="1"/>
  <c r="G20" i="18"/>
  <c r="D21" i="19"/>
  <c r="E50" i="19"/>
  <c r="H50" i="19"/>
  <c r="B7" i="33"/>
  <c r="D102" i="18"/>
  <c r="I58" i="18"/>
  <c r="E56" i="19"/>
  <c r="F56" i="19"/>
  <c r="H56" i="19"/>
  <c r="N11" i="31"/>
  <c r="G55" i="19"/>
  <c r="H19" i="18"/>
  <c r="E20" i="19"/>
  <c r="B20" i="19"/>
  <c r="AN26" i="22"/>
  <c r="AN27" i="22" s="1"/>
  <c r="AN28" i="22" s="1"/>
  <c r="E16" i="30"/>
  <c r="C9" i="25"/>
  <c r="E17" i="28" s="1"/>
  <c r="D6" i="25"/>
  <c r="D9" i="25"/>
  <c r="E16" i="28" s="1"/>
  <c r="G18" i="18"/>
  <c r="F18" i="19"/>
  <c r="G18" i="29"/>
  <c r="L18" i="29" s="1"/>
  <c r="B48" i="19"/>
  <c r="J19" i="18"/>
  <c r="L19" i="18"/>
  <c r="F14" i="19"/>
  <c r="B13" i="19"/>
  <c r="F12" i="18"/>
  <c r="H13" i="19" s="1"/>
  <c r="E12" i="30" s="1"/>
  <c r="F14" i="18"/>
  <c r="G14" i="18"/>
  <c r="D15" i="19"/>
  <c r="K13" i="18"/>
  <c r="H60" i="19"/>
  <c r="H9" i="18"/>
  <c r="E10" i="19" s="1"/>
  <c r="I19" i="25"/>
  <c r="F23" i="28" s="1"/>
  <c r="H7" i="18"/>
  <c r="F7" i="18"/>
  <c r="AE54" i="22"/>
  <c r="AE10" i="22" s="1"/>
  <c r="AE11" i="22" s="1"/>
  <c r="L11" i="24"/>
  <c r="AB30" i="22"/>
  <c r="AB31" i="22"/>
  <c r="AB32" i="22" s="1"/>
  <c r="AB33" i="22" s="1"/>
  <c r="AB34" i="22" s="1"/>
  <c r="AB35" i="22"/>
  <c r="AB36" i="22" s="1"/>
  <c r="AB37" i="22" s="1"/>
  <c r="AB38" i="22" s="1"/>
  <c r="AB39" i="22"/>
  <c r="AB40" i="22" s="1"/>
  <c r="AB41" i="22" s="1"/>
  <c r="AB42" i="22" s="1"/>
  <c r="AB43" i="22" s="1"/>
  <c r="AB44" i="22" s="1"/>
  <c r="AB45" i="22" s="1"/>
  <c r="AB46" i="22" s="1"/>
  <c r="AB47" i="22" s="1"/>
  <c r="AB48" i="22" s="1"/>
  <c r="AB49" i="22" s="1"/>
  <c r="AB50" i="22" s="1"/>
  <c r="AB51" i="22" s="1"/>
  <c r="AB52" i="22" s="1"/>
  <c r="AB53" i="22" s="1"/>
  <c r="AB54" i="22"/>
  <c r="AB10" i="22"/>
  <c r="AB11" i="22" s="1"/>
  <c r="C59" i="19"/>
  <c r="G14" i="29"/>
  <c r="L14" i="29" s="1"/>
  <c r="E8" i="19"/>
  <c r="C13" i="19"/>
  <c r="C63" i="19"/>
  <c r="D19" i="19"/>
  <c r="F50" i="19"/>
  <c r="H10" i="19"/>
  <c r="E9" i="30" s="1"/>
  <c r="G14" i="19"/>
  <c r="J13" i="31"/>
  <c r="C12" i="19"/>
  <c r="F5" i="29"/>
  <c r="K5" i="29"/>
  <c r="F5" i="19"/>
  <c r="G5" i="29"/>
  <c r="L5" i="29"/>
  <c r="D5" i="29"/>
  <c r="I5" i="29"/>
  <c r="C5" i="29"/>
  <c r="H5" i="29"/>
  <c r="C8" i="19"/>
  <c r="H8" i="19"/>
  <c r="E7" i="30" s="1"/>
  <c r="C15" i="19"/>
  <c r="H15" i="19"/>
  <c r="E14" i="30"/>
  <c r="G18" i="19"/>
  <c r="J17" i="31"/>
  <c r="J58" i="18"/>
  <c r="I58" i="19"/>
  <c r="L58" i="18"/>
  <c r="I102" i="18"/>
  <c r="K58" i="18"/>
  <c r="K102" i="18" s="1"/>
  <c r="G7" i="33"/>
  <c r="D7" i="33"/>
  <c r="G60" i="19"/>
  <c r="N16" i="31"/>
  <c r="D57" i="19"/>
  <c r="H57" i="19"/>
  <c r="E13" i="30"/>
  <c r="H21" i="19"/>
  <c r="E20" i="30" s="1"/>
  <c r="J8" i="31"/>
  <c r="I15" i="19"/>
  <c r="E102" i="18"/>
  <c r="G58" i="18"/>
  <c r="G102" i="18"/>
  <c r="BL22" i="22"/>
  <c r="BL23" i="22" s="1"/>
  <c r="BL24" i="22" s="1"/>
  <c r="BL25" i="22" s="1"/>
  <c r="BL26" i="22" s="1"/>
  <c r="BL27" i="22" s="1"/>
  <c r="BL28" i="22" s="1"/>
  <c r="F4" i="29"/>
  <c r="K4" i="29" s="1"/>
  <c r="G4" i="29"/>
  <c r="F4" i="19"/>
  <c r="O5" i="31"/>
  <c r="L4" i="29"/>
  <c r="D17" i="29"/>
  <c r="I17" i="29" s="1"/>
  <c r="K58" i="19"/>
  <c r="J102" i="18"/>
  <c r="G21" i="29"/>
  <c r="L21" i="29" s="1"/>
  <c r="AE12" i="22"/>
  <c r="E7" i="33"/>
  <c r="L7" i="33"/>
  <c r="B4" i="30"/>
  <c r="H4" i="30" s="1"/>
  <c r="B4" i="31"/>
  <c r="J4" i="31"/>
  <c r="F4" i="31"/>
  <c r="G5" i="19"/>
  <c r="B4" i="27" s="1"/>
  <c r="D10" i="29"/>
  <c r="I10" i="29"/>
  <c r="F10" i="29"/>
  <c r="K10" i="29" s="1"/>
  <c r="G10" i="29"/>
  <c r="L10" i="29"/>
  <c r="F10" i="19"/>
  <c r="AB12" i="22"/>
  <c r="G4" i="19"/>
  <c r="J3" i="31"/>
  <c r="F57" i="19"/>
  <c r="L58" i="19"/>
  <c r="L102" i="18"/>
  <c r="F15" i="19"/>
  <c r="G15" i="29"/>
  <c r="L15" i="29" s="1"/>
  <c r="F8" i="19"/>
  <c r="G8" i="29"/>
  <c r="L8" i="29" s="1"/>
  <c r="F8" i="29"/>
  <c r="G50" i="19"/>
  <c r="N6" i="31"/>
  <c r="AE13" i="22"/>
  <c r="AE14" i="22"/>
  <c r="AB13" i="22"/>
  <c r="AB14" i="22" s="1"/>
  <c r="B5" i="29"/>
  <c r="K8" i="29"/>
  <c r="J14" i="31"/>
  <c r="G15" i="19"/>
  <c r="G57" i="19"/>
  <c r="N13" i="31"/>
  <c r="B13" i="31"/>
  <c r="F13" i="31"/>
  <c r="D14" i="29"/>
  <c r="I14" i="29" s="1"/>
  <c r="B13" i="30"/>
  <c r="H13" i="30" s="1"/>
  <c r="B14" i="29"/>
  <c r="B13" i="27"/>
  <c r="D3" i="33" l="1"/>
  <c r="L9" i="33"/>
  <c r="E9" i="33"/>
  <c r="D8" i="33"/>
  <c r="G10" i="33"/>
  <c r="G9" i="33"/>
  <c r="AE15" i="22"/>
  <c r="AE16" i="22" s="1"/>
  <c r="AE17" i="22" s="1"/>
  <c r="AE18" i="22" s="1"/>
  <c r="AE19" i="22" s="1"/>
  <c r="AE20" i="22" s="1"/>
  <c r="AE21" i="22" s="1"/>
  <c r="AE22" i="22" s="1"/>
  <c r="AE23" i="22" s="1"/>
  <c r="AE24" i="22" s="1"/>
  <c r="AE25" i="22" s="1"/>
  <c r="AE26" i="22" s="1"/>
  <c r="AE27" i="22" s="1"/>
  <c r="AE28" i="22" s="1"/>
  <c r="C11" i="19"/>
  <c r="H11" i="19"/>
  <c r="C7" i="19"/>
  <c r="H7" i="19"/>
  <c r="AB15" i="22"/>
  <c r="AB16" i="22" s="1"/>
  <c r="AB17" i="22" s="1"/>
  <c r="AB18" i="22" s="1"/>
  <c r="AB19" i="22" s="1"/>
  <c r="AB20" i="22" s="1"/>
  <c r="AB21" i="22" s="1"/>
  <c r="AB22" i="22" s="1"/>
  <c r="AB23" i="22" s="1"/>
  <c r="AB24" i="22" s="1"/>
  <c r="AB25" i="22" s="1"/>
  <c r="AB26" i="22" s="1"/>
  <c r="AB27" i="22" s="1"/>
  <c r="AB28" i="22" s="1"/>
  <c r="J9" i="31"/>
  <c r="F9" i="31"/>
  <c r="G10" i="19"/>
  <c r="B9" i="31"/>
  <c r="B9" i="30"/>
  <c r="H9" i="30" s="1"/>
  <c r="F7" i="31"/>
  <c r="J7" i="31"/>
  <c r="B7" i="31"/>
  <c r="G8" i="19"/>
  <c r="N20" i="31"/>
  <c r="G64" i="19"/>
  <c r="D21" i="29" s="1"/>
  <c r="I21" i="29" s="1"/>
  <c r="J58" i="19"/>
  <c r="M58" i="19" s="1"/>
  <c r="L3" i="33"/>
  <c r="E3" i="33"/>
  <c r="E63" i="19"/>
  <c r="H63" i="19"/>
  <c r="F21" i="19"/>
  <c r="F6" i="19"/>
  <c r="G6" i="29"/>
  <c r="F6" i="29"/>
  <c r="N18" i="31"/>
  <c r="G62" i="19"/>
  <c r="G13" i="29"/>
  <c r="L13" i="29" s="1"/>
  <c r="F13" i="29"/>
  <c r="K13" i="29" s="1"/>
  <c r="F13" i="19"/>
  <c r="N17" i="31"/>
  <c r="G61" i="19"/>
  <c r="F17" i="31"/>
  <c r="B17" i="31"/>
  <c r="D12" i="19"/>
  <c r="H12" i="19"/>
  <c r="E11" i="30" s="1"/>
  <c r="G56" i="19"/>
  <c r="D13" i="29" s="1"/>
  <c r="I13" i="29" s="1"/>
  <c r="N12" i="31"/>
  <c r="H59" i="19"/>
  <c r="D59" i="19"/>
  <c r="F59" i="19" s="1"/>
  <c r="G9" i="19"/>
  <c r="J54" i="19"/>
  <c r="M54" i="19" s="1"/>
  <c r="J100" i="18"/>
  <c r="J56" i="19"/>
  <c r="B16" i="19"/>
  <c r="H15" i="18"/>
  <c r="F15" i="18"/>
  <c r="AL14" i="22"/>
  <c r="AL15" i="22" s="1"/>
  <c r="E10" i="29"/>
  <c r="J10" i="29" s="1"/>
  <c r="F14" i="29"/>
  <c r="K14" i="29" s="1"/>
  <c r="AM18" i="22"/>
  <c r="F58" i="18"/>
  <c r="H58" i="18"/>
  <c r="BT22" i="22"/>
  <c r="BT23" i="22" s="1"/>
  <c r="BT24" i="22" s="1"/>
  <c r="F63" i="19"/>
  <c r="F98" i="18"/>
  <c r="C98" i="18"/>
  <c r="H47" i="19"/>
  <c r="C47" i="19"/>
  <c r="B19" i="19"/>
  <c r="H18" i="18"/>
  <c r="E19" i="19" s="1"/>
  <c r="F18" i="18"/>
  <c r="G51" i="19"/>
  <c r="B7" i="30" s="1"/>
  <c r="H7" i="30" s="1"/>
  <c r="N7" i="31"/>
  <c r="I62" i="18"/>
  <c r="D106" i="18"/>
  <c r="I60" i="18"/>
  <c r="D104" i="18"/>
  <c r="D19" i="25"/>
  <c r="F16" i="28" s="1"/>
  <c r="D16" i="25"/>
  <c r="C19" i="25"/>
  <c r="F17" i="28" s="1"/>
  <c r="L61" i="18"/>
  <c r="I105" i="18"/>
  <c r="I61" i="19"/>
  <c r="K61" i="18"/>
  <c r="C96" i="18"/>
  <c r="E52" i="18"/>
  <c r="K56" i="18"/>
  <c r="I56" i="19"/>
  <c r="I100" i="18"/>
  <c r="F19" i="18"/>
  <c r="G19" i="18"/>
  <c r="C50" i="18"/>
  <c r="C59" i="18"/>
  <c r="C61" i="18"/>
  <c r="C60" i="18"/>
  <c r="C51" i="18"/>
  <c r="C47" i="18"/>
  <c r="C57" i="18"/>
  <c r="C49" i="18"/>
  <c r="C62" i="18"/>
  <c r="C56" i="18"/>
  <c r="C53" i="18"/>
  <c r="C48" i="18"/>
  <c r="C63" i="18"/>
  <c r="H54" i="18"/>
  <c r="I11" i="19"/>
  <c r="E98" i="18"/>
  <c r="G54" i="18"/>
  <c r="G98" i="18" s="1"/>
  <c r="L10" i="33"/>
  <c r="E10" i="33"/>
  <c r="I48" i="18"/>
  <c r="D92" i="18"/>
  <c r="D107" i="18"/>
  <c r="I63" i="18"/>
  <c r="B99" i="18"/>
  <c r="C55" i="18"/>
  <c r="D55" i="18"/>
  <c r="G17" i="29"/>
  <c r="L17" i="29" s="1"/>
  <c r="K8" i="18"/>
  <c r="J8" i="18"/>
  <c r="L8" i="18"/>
  <c r="E52" i="19" s="1"/>
  <c r="J5" i="18"/>
  <c r="L5" i="18"/>
  <c r="D53" i="18"/>
  <c r="D59" i="18"/>
  <c r="D50" i="18"/>
  <c r="D47" i="18"/>
  <c r="F17" i="19"/>
  <c r="B54" i="19"/>
  <c r="L10" i="18"/>
  <c r="J10" i="18"/>
  <c r="D57" i="18"/>
  <c r="D51" i="18"/>
  <c r="D52" i="18"/>
  <c r="I29" i="25"/>
  <c r="G23" i="28" s="1"/>
  <c r="BK54" i="22"/>
  <c r="BK10" i="22" s="1"/>
  <c r="BK11" i="22" s="1"/>
  <c r="BK30" i="22"/>
  <c r="BK31" i="22" s="1"/>
  <c r="BK32" i="22" s="1"/>
  <c r="BK33" i="22" s="1"/>
  <c r="BK34" i="22" s="1"/>
  <c r="BK35" i="22" s="1"/>
  <c r="BK36" i="22" s="1"/>
  <c r="BK37" i="22" s="1"/>
  <c r="BK38" i="22" s="1"/>
  <c r="BK39" i="22" s="1"/>
  <c r="BK40" i="22" s="1"/>
  <c r="BK41" i="22" s="1"/>
  <c r="BK42" i="22" s="1"/>
  <c r="BK43" i="22" s="1"/>
  <c r="BK44" i="22" s="1"/>
  <c r="BK45" i="22" s="1"/>
  <c r="BK46" i="22" s="1"/>
  <c r="BK47" i="22" s="1"/>
  <c r="BK48" i="22" s="1"/>
  <c r="BK49" i="22" s="1"/>
  <c r="BK50" i="22" s="1"/>
  <c r="BK51" i="22" s="1"/>
  <c r="BK52" i="22" s="1"/>
  <c r="BK53" i="22" s="1"/>
  <c r="I9" i="25"/>
  <c r="E23" i="28" s="1"/>
  <c r="F58" i="19"/>
  <c r="AU30" i="22"/>
  <c r="AU31" i="22" s="1"/>
  <c r="AU32" i="22" s="1"/>
  <c r="AU33" i="22" s="1"/>
  <c r="AU34" i="22" s="1"/>
  <c r="AU35" i="22" s="1"/>
  <c r="AU36" i="22" s="1"/>
  <c r="AU37" i="22" s="1"/>
  <c r="AU38" i="22" s="1"/>
  <c r="AU39" i="22" s="1"/>
  <c r="AU40" i="22" s="1"/>
  <c r="AU41" i="22" s="1"/>
  <c r="AU42" i="22" s="1"/>
  <c r="AU43" i="22" s="1"/>
  <c r="AU44" i="22" s="1"/>
  <c r="AU45" i="22" s="1"/>
  <c r="AU46" i="22" s="1"/>
  <c r="AU47" i="22" s="1"/>
  <c r="AU48" i="22" s="1"/>
  <c r="AU49" i="22" s="1"/>
  <c r="AU50" i="22" s="1"/>
  <c r="AU51" i="22" s="1"/>
  <c r="AU52" i="22" s="1"/>
  <c r="AU53" i="22" s="1"/>
  <c r="AU54" i="22"/>
  <c r="AU10" i="22" s="1"/>
  <c r="AU11" i="22" s="1"/>
  <c r="AU12" i="22" s="1"/>
  <c r="AU13" i="22" s="1"/>
  <c r="AU14" i="22" s="1"/>
  <c r="AU15" i="22" s="1"/>
  <c r="AU16" i="22" s="1"/>
  <c r="AU17" i="22" s="1"/>
  <c r="AU18" i="22" s="1"/>
  <c r="AU19" i="22" s="1"/>
  <c r="AU20" i="22" s="1"/>
  <c r="AU21" i="22" s="1"/>
  <c r="AU22" i="22" s="1"/>
  <c r="AU23" i="22" s="1"/>
  <c r="AU24" i="22" s="1"/>
  <c r="AU25" i="22" s="1"/>
  <c r="AU26" i="22" s="1"/>
  <c r="AU27" i="22" s="1"/>
  <c r="AU28" i="22" s="1"/>
  <c r="L18" i="24"/>
  <c r="L22" i="24" s="1"/>
  <c r="D22" i="24"/>
  <c r="D26" i="24" s="1"/>
  <c r="BB54" i="22"/>
  <c r="BB10" i="22" s="1"/>
  <c r="BB11" i="22" s="1"/>
  <c r="BB12" i="22" s="1"/>
  <c r="BB13" i="22" s="1"/>
  <c r="BB14" i="22" s="1"/>
  <c r="BB15" i="22" s="1"/>
  <c r="BB16" i="22" s="1"/>
  <c r="BB17" i="22" s="1"/>
  <c r="BB18" i="22" s="1"/>
  <c r="BB19" i="22" s="1"/>
  <c r="BB20" i="22" s="1"/>
  <c r="BB21" i="22" s="1"/>
  <c r="BB22" i="22" s="1"/>
  <c r="BB23" i="22" s="1"/>
  <c r="BB24" i="22" s="1"/>
  <c r="BB25" i="22" s="1"/>
  <c r="BB26" i="22" s="1"/>
  <c r="BB27" i="22" s="1"/>
  <c r="BB28" i="22" s="1"/>
  <c r="B64" i="18"/>
  <c r="B21" i="18"/>
  <c r="L8" i="33" l="1"/>
  <c r="E8" i="33"/>
  <c r="C21" i="18"/>
  <c r="B22" i="18"/>
  <c r="D21" i="18"/>
  <c r="B65" i="18"/>
  <c r="O8" i="24"/>
  <c r="L26" i="24"/>
  <c r="N14" i="31"/>
  <c r="G58" i="19"/>
  <c r="F14" i="31"/>
  <c r="B14" i="31"/>
  <c r="C54" i="19"/>
  <c r="H54" i="19"/>
  <c r="I47" i="18"/>
  <c r="D91" i="18"/>
  <c r="E49" i="19"/>
  <c r="L93" i="18"/>
  <c r="D52" i="19"/>
  <c r="K48" i="18"/>
  <c r="I92" i="18"/>
  <c r="L48" i="18"/>
  <c r="J48" i="18"/>
  <c r="I48" i="19"/>
  <c r="E48" i="18"/>
  <c r="C92" i="18"/>
  <c r="C93" i="18"/>
  <c r="E49" i="18"/>
  <c r="C104" i="18"/>
  <c r="E60" i="18"/>
  <c r="D20" i="19"/>
  <c r="K100" i="18"/>
  <c r="K56" i="19"/>
  <c r="H19" i="19"/>
  <c r="E18" i="30" s="1"/>
  <c r="C19" i="19"/>
  <c r="E3" i="30"/>
  <c r="AM19" i="22"/>
  <c r="AM20" i="22" s="1"/>
  <c r="F15" i="29"/>
  <c r="K15" i="29" s="1"/>
  <c r="C16" i="19"/>
  <c r="H16" i="19"/>
  <c r="E15" i="30" s="1"/>
  <c r="N15" i="31"/>
  <c r="G59" i="19"/>
  <c r="F12" i="29"/>
  <c r="K12" i="29" s="1"/>
  <c r="D12" i="29"/>
  <c r="I12" i="29" s="1"/>
  <c r="F12" i="19"/>
  <c r="G12" i="29"/>
  <c r="L12" i="29" s="1"/>
  <c r="L6" i="29"/>
  <c r="O11" i="19"/>
  <c r="E10" i="30"/>
  <c r="B108" i="18"/>
  <c r="C64" i="18"/>
  <c r="D64" i="18"/>
  <c r="O61" i="19"/>
  <c r="R61" i="19" s="1"/>
  <c r="O49" i="19"/>
  <c r="R49" i="19" s="1"/>
  <c r="O56" i="19"/>
  <c r="R56" i="19" s="1"/>
  <c r="D96" i="18"/>
  <c r="I52" i="18"/>
  <c r="E54" i="19"/>
  <c r="L98" i="18"/>
  <c r="D94" i="18"/>
  <c r="I50" i="18"/>
  <c r="C49" i="19"/>
  <c r="F49" i="19" s="1"/>
  <c r="J93" i="18"/>
  <c r="H49" i="19"/>
  <c r="E5" i="30" s="1"/>
  <c r="K63" i="18"/>
  <c r="J63" i="18"/>
  <c r="L63" i="18"/>
  <c r="I63" i="19"/>
  <c r="I107" i="18"/>
  <c r="C97" i="18"/>
  <c r="E53" i="18"/>
  <c r="C101" i="18"/>
  <c r="E57" i="18"/>
  <c r="E61" i="18"/>
  <c r="C105" i="18"/>
  <c r="C20" i="19"/>
  <c r="H20" i="19"/>
  <c r="E19" i="30" s="1"/>
  <c r="F52" i="18"/>
  <c r="E96" i="18"/>
  <c r="G52" i="18"/>
  <c r="G96" i="18" s="1"/>
  <c r="I9" i="19"/>
  <c r="H52" i="18"/>
  <c r="J62" i="18"/>
  <c r="I106" i="18"/>
  <c r="I62" i="19"/>
  <c r="L62" i="18"/>
  <c r="K62" i="18"/>
  <c r="BT25" i="22"/>
  <c r="BT26" i="22" s="1"/>
  <c r="BT27" i="22" s="1"/>
  <c r="BT28" i="22" s="1"/>
  <c r="E16" i="19"/>
  <c r="O54" i="19"/>
  <c r="R54" i="19" s="1"/>
  <c r="B17" i="30"/>
  <c r="H17" i="30" s="1"/>
  <c r="D18" i="29"/>
  <c r="I18" i="29" s="1"/>
  <c r="B18" i="29"/>
  <c r="B17" i="27"/>
  <c r="K6" i="29"/>
  <c r="G6" i="19"/>
  <c r="F5" i="31"/>
  <c r="B5" i="31"/>
  <c r="J5" i="31"/>
  <c r="B10" i="29"/>
  <c r="B9" i="27"/>
  <c r="F11" i="29"/>
  <c r="K11" i="29" s="1"/>
  <c r="F11" i="19"/>
  <c r="G11" i="29"/>
  <c r="L11" i="29" s="1"/>
  <c r="D95" i="18"/>
  <c r="I51" i="18"/>
  <c r="I59" i="18"/>
  <c r="D103" i="18"/>
  <c r="I55" i="18"/>
  <c r="D99" i="18"/>
  <c r="H98" i="18"/>
  <c r="L11" i="19"/>
  <c r="E56" i="18"/>
  <c r="C100" i="18"/>
  <c r="C91" i="18"/>
  <c r="E47" i="18"/>
  <c r="E59" i="18"/>
  <c r="C103" i="18"/>
  <c r="L105" i="18"/>
  <c r="L61" i="19"/>
  <c r="L15" i="19"/>
  <c r="H102" i="18"/>
  <c r="J98" i="18"/>
  <c r="O14" i="31"/>
  <c r="P14" i="31" s="1"/>
  <c r="N58" i="19"/>
  <c r="Q58" i="19" s="1"/>
  <c r="P58" i="19"/>
  <c r="B8" i="29"/>
  <c r="B7" i="27"/>
  <c r="E6" i="30"/>
  <c r="BK12" i="22"/>
  <c r="C8" i="29"/>
  <c r="H8" i="29" s="1"/>
  <c r="D101" i="18"/>
  <c r="I57" i="18"/>
  <c r="F16" i="31"/>
  <c r="J16" i="31"/>
  <c r="G17" i="19"/>
  <c r="B16" i="30"/>
  <c r="H16" i="30" s="1"/>
  <c r="B16" i="31"/>
  <c r="D97" i="18"/>
  <c r="I53" i="18"/>
  <c r="H52" i="19"/>
  <c r="E8" i="30" s="1"/>
  <c r="C52" i="19"/>
  <c r="F52" i="19" s="1"/>
  <c r="E55" i="18"/>
  <c r="C99" i="18"/>
  <c r="E63" i="18"/>
  <c r="C107" i="18"/>
  <c r="C106" i="18"/>
  <c r="E62" i="18"/>
  <c r="C95" i="18"/>
  <c r="E51" i="18"/>
  <c r="C94" i="18"/>
  <c r="E50" i="18"/>
  <c r="K105" i="18"/>
  <c r="K61" i="19"/>
  <c r="M61" i="19" s="1"/>
  <c r="I60" i="19"/>
  <c r="J60" i="18"/>
  <c r="K60" i="18"/>
  <c r="I104" i="18"/>
  <c r="L60" i="18"/>
  <c r="E8" i="29"/>
  <c r="J8" i="29" s="1"/>
  <c r="D8" i="29"/>
  <c r="I8" i="29" s="1"/>
  <c r="F47" i="19"/>
  <c r="N19" i="31"/>
  <c r="G63" i="19"/>
  <c r="O15" i="19"/>
  <c r="F102" i="18"/>
  <c r="J15" i="19"/>
  <c r="K15" i="19"/>
  <c r="AL16" i="22"/>
  <c r="E12" i="29"/>
  <c r="J12" i="29" s="1"/>
  <c r="M56" i="19"/>
  <c r="O10" i="31"/>
  <c r="N54" i="19"/>
  <c r="B12" i="30"/>
  <c r="H12" i="30" s="1"/>
  <c r="B12" i="31"/>
  <c r="F12" i="31"/>
  <c r="J12" i="31"/>
  <c r="G13" i="19"/>
  <c r="J20" i="31"/>
  <c r="B20" i="31"/>
  <c r="B20" i="30"/>
  <c r="H20" i="30" s="1"/>
  <c r="F20" i="31"/>
  <c r="G21" i="19"/>
  <c r="O58" i="19"/>
  <c r="R58" i="19" s="1"/>
  <c r="F7" i="29"/>
  <c r="K7" i="29" s="1"/>
  <c r="G7" i="29"/>
  <c r="L7" i="29" s="1"/>
  <c r="F7" i="19"/>
  <c r="C7" i="29"/>
  <c r="H7" i="29" s="1"/>
  <c r="E7" i="29"/>
  <c r="J7" i="29" s="1"/>
  <c r="D7" i="29"/>
  <c r="I7" i="29" s="1"/>
  <c r="B21" i="29" l="1"/>
  <c r="B20" i="27"/>
  <c r="B13" i="29"/>
  <c r="B12" i="27"/>
  <c r="N56" i="19"/>
  <c r="Q56" i="19" s="1"/>
  <c r="P56" i="19"/>
  <c r="O12" i="31"/>
  <c r="P12" i="31" s="1"/>
  <c r="F57" i="29"/>
  <c r="M15" i="19"/>
  <c r="C57" i="29"/>
  <c r="G57" i="29"/>
  <c r="E57" i="29"/>
  <c r="D57" i="29"/>
  <c r="O60" i="19"/>
  <c r="R60" i="19" s="1"/>
  <c r="J60" i="19"/>
  <c r="J104" i="18"/>
  <c r="G50" i="18"/>
  <c r="G94" i="18" s="1"/>
  <c r="F50" i="18"/>
  <c r="E94" i="18"/>
  <c r="H50" i="18"/>
  <c r="I7" i="19"/>
  <c r="E106" i="18"/>
  <c r="G62" i="18"/>
  <c r="G106" i="18" s="1"/>
  <c r="H62" i="18"/>
  <c r="I19" i="19"/>
  <c r="F62" i="18"/>
  <c r="I53" i="19"/>
  <c r="L53" i="18"/>
  <c r="I97" i="18"/>
  <c r="K53" i="18"/>
  <c r="J53" i="18"/>
  <c r="B17" i="29"/>
  <c r="B16" i="27"/>
  <c r="G56" i="18"/>
  <c r="G100" i="18" s="1"/>
  <c r="F56" i="18"/>
  <c r="E100" i="18"/>
  <c r="H56" i="18"/>
  <c r="I13" i="19"/>
  <c r="J55" i="18"/>
  <c r="I99" i="18"/>
  <c r="I55" i="19"/>
  <c r="L55" i="18"/>
  <c r="K55" i="18"/>
  <c r="L51" i="18"/>
  <c r="J51" i="18"/>
  <c r="I51" i="19"/>
  <c r="K51" i="18"/>
  <c r="I95" i="18"/>
  <c r="G20" i="29"/>
  <c r="L20" i="29" s="1"/>
  <c r="D20" i="29"/>
  <c r="I20" i="29" s="1"/>
  <c r="F20" i="19"/>
  <c r="J50" i="18"/>
  <c r="K50" i="18"/>
  <c r="I94" i="18"/>
  <c r="I50" i="19"/>
  <c r="L50" i="18"/>
  <c r="L52" i="18"/>
  <c r="K52" i="18"/>
  <c r="I96" i="18"/>
  <c r="I52" i="19"/>
  <c r="J52" i="18"/>
  <c r="F16" i="19"/>
  <c r="F16" i="29"/>
  <c r="K16" i="29" s="1"/>
  <c r="G16" i="29"/>
  <c r="L16" i="29" s="1"/>
  <c r="D16" i="29"/>
  <c r="I16" i="29" s="1"/>
  <c r="F48" i="18"/>
  <c r="G48" i="18"/>
  <c r="G92" i="18" s="1"/>
  <c r="I5" i="19"/>
  <c r="E92" i="18"/>
  <c r="H48" i="18"/>
  <c r="F54" i="19"/>
  <c r="C65" i="18"/>
  <c r="B109" i="18"/>
  <c r="D65" i="18"/>
  <c r="L60" i="19"/>
  <c r="L104" i="18"/>
  <c r="E99" i="18"/>
  <c r="H55" i="18"/>
  <c r="I12" i="19"/>
  <c r="F55" i="18"/>
  <c r="G55" i="18"/>
  <c r="G99" i="18" s="1"/>
  <c r="G47" i="18"/>
  <c r="H47" i="18"/>
  <c r="F47" i="18"/>
  <c r="I4" i="19"/>
  <c r="E91" i="18"/>
  <c r="F53" i="29"/>
  <c r="G53" i="29"/>
  <c r="C53" i="29"/>
  <c r="D53" i="29"/>
  <c r="M11" i="19"/>
  <c r="K62" i="19"/>
  <c r="K106" i="18"/>
  <c r="J106" i="18"/>
  <c r="J62" i="19"/>
  <c r="O62" i="19"/>
  <c r="R62" i="19" s="1"/>
  <c r="H53" i="18"/>
  <c r="F53" i="18"/>
  <c r="I10" i="19"/>
  <c r="E97" i="18"/>
  <c r="G53" i="18"/>
  <c r="G97" i="18" s="1"/>
  <c r="L107" i="18"/>
  <c r="L63" i="19"/>
  <c r="G12" i="19"/>
  <c r="F11" i="31"/>
  <c r="B11" i="31"/>
  <c r="J11" i="31"/>
  <c r="B11" i="30"/>
  <c r="H11" i="30" s="1"/>
  <c r="D19" i="29"/>
  <c r="I19" i="29" s="1"/>
  <c r="F19" i="19"/>
  <c r="G19" i="29"/>
  <c r="L19" i="29" s="1"/>
  <c r="F49" i="18"/>
  <c r="E93" i="18"/>
  <c r="I6" i="19"/>
  <c r="G49" i="18"/>
  <c r="G93" i="18" s="1"/>
  <c r="H49" i="18"/>
  <c r="K48" i="19"/>
  <c r="K92" i="18"/>
  <c r="I21" i="18"/>
  <c r="AL17" i="22"/>
  <c r="E13" i="29"/>
  <c r="J13" i="29" s="1"/>
  <c r="F14" i="30"/>
  <c r="G14" i="30" s="1"/>
  <c r="R15" i="19"/>
  <c r="G47" i="19"/>
  <c r="F3" i="31"/>
  <c r="B3" i="31"/>
  <c r="N3" i="31"/>
  <c r="N61" i="19"/>
  <c r="Q61" i="19" s="1"/>
  <c r="P61" i="19"/>
  <c r="O17" i="31"/>
  <c r="P17" i="31" s="1"/>
  <c r="E95" i="18"/>
  <c r="G51" i="18"/>
  <c r="G95" i="18" s="1"/>
  <c r="H51" i="18"/>
  <c r="F51" i="18"/>
  <c r="I8" i="19"/>
  <c r="N8" i="31"/>
  <c r="G52" i="19"/>
  <c r="F8" i="31"/>
  <c r="B8" i="31"/>
  <c r="BK13" i="22"/>
  <c r="C9" i="29"/>
  <c r="H9" i="29" s="1"/>
  <c r="I103" i="18"/>
  <c r="K59" i="18"/>
  <c r="L59" i="18"/>
  <c r="I59" i="19"/>
  <c r="J59" i="18"/>
  <c r="B10" i="31"/>
  <c r="J10" i="31"/>
  <c r="F10" i="31"/>
  <c r="G11" i="19"/>
  <c r="L106" i="18"/>
  <c r="L62" i="19"/>
  <c r="L9" i="19"/>
  <c r="H96" i="18"/>
  <c r="J9" i="19"/>
  <c r="F96" i="18"/>
  <c r="O9" i="19"/>
  <c r="K9" i="19"/>
  <c r="I18" i="19"/>
  <c r="E105" i="18"/>
  <c r="G61" i="18"/>
  <c r="G105" i="18" s="1"/>
  <c r="F61" i="18"/>
  <c r="H61" i="18"/>
  <c r="J107" i="18"/>
  <c r="J63" i="19"/>
  <c r="O63" i="19"/>
  <c r="R63" i="19" s="1"/>
  <c r="D108" i="18"/>
  <c r="I64" i="18"/>
  <c r="AM21" i="22"/>
  <c r="F17" i="29"/>
  <c r="K17" i="29" s="1"/>
  <c r="J48" i="19"/>
  <c r="O48" i="19"/>
  <c r="R48" i="19" s="1"/>
  <c r="J92" i="18"/>
  <c r="K47" i="18"/>
  <c r="L47" i="18"/>
  <c r="I47" i="19"/>
  <c r="J47" i="18"/>
  <c r="I91" i="18"/>
  <c r="B5" i="33"/>
  <c r="O16" i="24"/>
  <c r="C22" i="18"/>
  <c r="E22" i="18" s="1"/>
  <c r="B23" i="18"/>
  <c r="B66" i="18"/>
  <c r="D22" i="18"/>
  <c r="I22" i="18" s="1"/>
  <c r="J6" i="31"/>
  <c r="B6" i="31"/>
  <c r="G7" i="19"/>
  <c r="B6" i="30"/>
  <c r="H6" i="30" s="1"/>
  <c r="F6" i="31"/>
  <c r="K60" i="19"/>
  <c r="K104" i="18"/>
  <c r="G63" i="18"/>
  <c r="G107" i="18" s="1"/>
  <c r="H63" i="18"/>
  <c r="I20" i="19"/>
  <c r="F63" i="18"/>
  <c r="E107" i="18"/>
  <c r="J57" i="18"/>
  <c r="L57" i="18"/>
  <c r="I101" i="18"/>
  <c r="K57" i="18"/>
  <c r="I57" i="19"/>
  <c r="F59" i="18"/>
  <c r="G59" i="18"/>
  <c r="G103" i="18" s="1"/>
  <c r="H59" i="18"/>
  <c r="E103" i="18"/>
  <c r="I16" i="19"/>
  <c r="E53" i="29"/>
  <c r="H57" i="18"/>
  <c r="E101" i="18"/>
  <c r="F57" i="18"/>
  <c r="G57" i="18"/>
  <c r="G101" i="18" s="1"/>
  <c r="I14" i="19"/>
  <c r="K63" i="19"/>
  <c r="K107" i="18"/>
  <c r="N5" i="31"/>
  <c r="P5" i="31" s="1"/>
  <c r="P49" i="19"/>
  <c r="G49" i="19"/>
  <c r="B5" i="27" s="1"/>
  <c r="E64" i="18"/>
  <c r="C108" i="18"/>
  <c r="F10" i="30"/>
  <c r="G10" i="30" s="1"/>
  <c r="R11" i="19"/>
  <c r="H60" i="18"/>
  <c r="E104" i="18"/>
  <c r="I17" i="19"/>
  <c r="G60" i="18"/>
  <c r="G104" i="18" s="1"/>
  <c r="F60" i="18"/>
  <c r="L92" i="18"/>
  <c r="L48" i="19"/>
  <c r="D15" i="29"/>
  <c r="I15" i="29" s="1"/>
  <c r="B14" i="30"/>
  <c r="H14" i="30" s="1"/>
  <c r="B14" i="27"/>
  <c r="B15" i="29"/>
  <c r="E21" i="18"/>
  <c r="F101" i="18" l="1"/>
  <c r="J14" i="19"/>
  <c r="O14" i="19"/>
  <c r="K14" i="19"/>
  <c r="L14" i="19"/>
  <c r="H101" i="18"/>
  <c r="J57" i="19"/>
  <c r="O57" i="19"/>
  <c r="R57" i="19" s="1"/>
  <c r="J101" i="18"/>
  <c r="L20" i="19"/>
  <c r="H107" i="18"/>
  <c r="B67" i="18"/>
  <c r="D23" i="18"/>
  <c r="I23" i="18" s="1"/>
  <c r="C23" i="18"/>
  <c r="B24" i="18"/>
  <c r="L47" i="19"/>
  <c r="L91" i="18"/>
  <c r="M48" i="19"/>
  <c r="H105" i="18"/>
  <c r="L18" i="19"/>
  <c r="F51" i="29"/>
  <c r="G51" i="29"/>
  <c r="M9" i="19"/>
  <c r="J59" i="19"/>
  <c r="J103" i="18"/>
  <c r="O59" i="19"/>
  <c r="R59" i="19" s="1"/>
  <c r="D4" i="29"/>
  <c r="B3" i="27"/>
  <c r="E4" i="29"/>
  <c r="B3" i="30"/>
  <c r="H3" i="30" s="1"/>
  <c r="B4" i="29"/>
  <c r="C4" i="29"/>
  <c r="AL18" i="22"/>
  <c r="E14" i="29"/>
  <c r="J14" i="29" s="1"/>
  <c r="H53" i="29"/>
  <c r="G91" i="18"/>
  <c r="H99" i="18"/>
  <c r="L12" i="19"/>
  <c r="G54" i="19"/>
  <c r="N10" i="31"/>
  <c r="P10" i="31" s="1"/>
  <c r="P54" i="19"/>
  <c r="J15" i="31"/>
  <c r="F15" i="31"/>
  <c r="B15" i="31"/>
  <c r="G16" i="19"/>
  <c r="B15" i="30"/>
  <c r="H15" i="30" s="1"/>
  <c r="L99" i="18"/>
  <c r="L55" i="19"/>
  <c r="K53" i="19"/>
  <c r="K97" i="18"/>
  <c r="K19" i="19"/>
  <c r="J19" i="19"/>
  <c r="O19" i="19"/>
  <c r="F106" i="18"/>
  <c r="J7" i="19"/>
  <c r="F94" i="18"/>
  <c r="O7" i="19"/>
  <c r="K7" i="19"/>
  <c r="H57" i="29"/>
  <c r="K17" i="19"/>
  <c r="F104" i="18"/>
  <c r="O17" i="19"/>
  <c r="J17" i="19"/>
  <c r="L17" i="19"/>
  <c r="H104" i="18"/>
  <c r="J53" i="29"/>
  <c r="L16" i="19"/>
  <c r="H103" i="18"/>
  <c r="K101" i="18"/>
  <c r="K57" i="19"/>
  <c r="B23" i="19"/>
  <c r="H22" i="18"/>
  <c r="E23" i="19" s="1"/>
  <c r="F22" i="18"/>
  <c r="G22" i="18"/>
  <c r="D23" i="19" s="1"/>
  <c r="K47" i="19"/>
  <c r="K91" i="18"/>
  <c r="J18" i="19"/>
  <c r="K18" i="19"/>
  <c r="F105" i="18"/>
  <c r="O18" i="19"/>
  <c r="J8" i="19"/>
  <c r="F95" i="18"/>
  <c r="O8" i="19"/>
  <c r="K8" i="19"/>
  <c r="M62" i="19"/>
  <c r="L53" i="29"/>
  <c r="G95" i="29"/>
  <c r="L95" i="29" s="1"/>
  <c r="I65" i="18"/>
  <c r="D109" i="18"/>
  <c r="K52" i="19"/>
  <c r="K96" i="18"/>
  <c r="F19" i="31"/>
  <c r="J19" i="31"/>
  <c r="B19" i="31"/>
  <c r="G20" i="19"/>
  <c r="B19" i="30"/>
  <c r="H19" i="30" s="1"/>
  <c r="J51" i="19"/>
  <c r="O51" i="19"/>
  <c r="R51" i="19" s="1"/>
  <c r="J95" i="18"/>
  <c r="H100" i="18"/>
  <c r="L13" i="19"/>
  <c r="D99" i="29"/>
  <c r="I99" i="29" s="1"/>
  <c r="I57" i="29"/>
  <c r="P15" i="19"/>
  <c r="C14" i="31"/>
  <c r="D14" i="31" s="1"/>
  <c r="E14" i="31" s="1"/>
  <c r="K14" i="31"/>
  <c r="L14" i="31" s="1"/>
  <c r="M14" i="31" s="1"/>
  <c r="G14" i="31"/>
  <c r="H14" i="31" s="1"/>
  <c r="I14" i="31" s="1"/>
  <c r="N15" i="19"/>
  <c r="C14" i="30"/>
  <c r="K20" i="19"/>
  <c r="O20" i="19"/>
  <c r="F107" i="18"/>
  <c r="J20" i="19"/>
  <c r="K22" i="18"/>
  <c r="D66" i="19" s="1"/>
  <c r="J22" i="18"/>
  <c r="L22" i="18"/>
  <c r="E66" i="19" s="1"/>
  <c r="B66" i="19"/>
  <c r="O17" i="24"/>
  <c r="D20" i="34"/>
  <c r="J47" i="19"/>
  <c r="J91" i="18"/>
  <c r="O47" i="19"/>
  <c r="AM22" i="22"/>
  <c r="F18" i="29"/>
  <c r="K18" i="29" s="1"/>
  <c r="M63" i="19"/>
  <c r="F8" i="30"/>
  <c r="G8" i="30" s="1"/>
  <c r="R9" i="19"/>
  <c r="L59" i="19"/>
  <c r="L103" i="18"/>
  <c r="E9" i="29"/>
  <c r="J9" i="29" s="1"/>
  <c r="D9" i="29"/>
  <c r="I9" i="29" s="1"/>
  <c r="B8" i="30"/>
  <c r="H8" i="30" s="1"/>
  <c r="B8" i="27"/>
  <c r="B9" i="29"/>
  <c r="L8" i="19"/>
  <c r="H95" i="18"/>
  <c r="B12" i="29"/>
  <c r="B11" i="27"/>
  <c r="O10" i="19"/>
  <c r="J10" i="19"/>
  <c r="F97" i="18"/>
  <c r="K10" i="19"/>
  <c r="C10" i="30"/>
  <c r="N11" i="19"/>
  <c r="K10" i="31"/>
  <c r="L10" i="31" s="1"/>
  <c r="M10" i="31" s="1"/>
  <c r="P11" i="19"/>
  <c r="C10" i="31"/>
  <c r="D10" i="31" s="1"/>
  <c r="E10" i="31" s="1"/>
  <c r="G10" i="31"/>
  <c r="H10" i="31" s="1"/>
  <c r="I10" i="31" s="1"/>
  <c r="K53" i="29"/>
  <c r="F95" i="29"/>
  <c r="K95" i="29" s="1"/>
  <c r="F91" i="18"/>
  <c r="K4" i="19"/>
  <c r="J4" i="19"/>
  <c r="O4" i="19"/>
  <c r="O12" i="19"/>
  <c r="K12" i="19"/>
  <c r="J12" i="19"/>
  <c r="F99" i="18"/>
  <c r="H92" i="18"/>
  <c r="L5" i="19"/>
  <c r="O5" i="19"/>
  <c r="F92" i="18"/>
  <c r="K5" i="19"/>
  <c r="J5" i="19"/>
  <c r="J52" i="19"/>
  <c r="M52" i="19" s="1"/>
  <c r="O52" i="19"/>
  <c r="R52" i="19" s="1"/>
  <c r="J96" i="18"/>
  <c r="L52" i="19"/>
  <c r="L96" i="18"/>
  <c r="K94" i="18"/>
  <c r="K50" i="19"/>
  <c r="L51" i="19"/>
  <c r="L95" i="18"/>
  <c r="L97" i="18"/>
  <c r="L53" i="19"/>
  <c r="L19" i="19"/>
  <c r="H106" i="18"/>
  <c r="H94" i="18"/>
  <c r="L7" i="19"/>
  <c r="J57" i="29"/>
  <c r="K57" i="29"/>
  <c r="F99" i="29"/>
  <c r="K99" i="29" s="1"/>
  <c r="F21" i="18"/>
  <c r="H21" i="18"/>
  <c r="G21" i="18"/>
  <c r="B22" i="19"/>
  <c r="I21" i="19"/>
  <c r="E108" i="18"/>
  <c r="H64" i="18"/>
  <c r="G64" i="18"/>
  <c r="G108" i="18" s="1"/>
  <c r="F64" i="18"/>
  <c r="Q49" i="19"/>
  <c r="C6" i="29"/>
  <c r="H6" i="29" s="1"/>
  <c r="E6" i="29"/>
  <c r="J6" i="29" s="1"/>
  <c r="D6" i="29"/>
  <c r="I6" i="29" s="1"/>
  <c r="B5" i="30"/>
  <c r="J16" i="19"/>
  <c r="K16" i="19"/>
  <c r="F103" i="18"/>
  <c r="O16" i="19"/>
  <c r="L101" i="18"/>
  <c r="L57" i="19"/>
  <c r="B6" i="27"/>
  <c r="B7" i="29"/>
  <c r="D66" i="18"/>
  <c r="C66" i="18"/>
  <c r="B110" i="18"/>
  <c r="G5" i="33"/>
  <c r="G41" i="33" s="1"/>
  <c r="C20" i="34" s="1"/>
  <c r="B41" i="33"/>
  <c r="D5" i="33"/>
  <c r="I64" i="19"/>
  <c r="K64" i="18"/>
  <c r="J64" i="18"/>
  <c r="L64" i="18"/>
  <c r="I108" i="18"/>
  <c r="B11" i="29"/>
  <c r="B10" i="27"/>
  <c r="K103" i="18"/>
  <c r="K59" i="19"/>
  <c r="BK14" i="22"/>
  <c r="C10" i="29"/>
  <c r="H10" i="29" s="1"/>
  <c r="K21" i="18"/>
  <c r="J21" i="18"/>
  <c r="B65" i="19"/>
  <c r="L21" i="18"/>
  <c r="L6" i="19"/>
  <c r="H93" i="18"/>
  <c r="F93" i="18"/>
  <c r="J6" i="19"/>
  <c r="O6" i="19"/>
  <c r="K6" i="19"/>
  <c r="B18" i="30"/>
  <c r="H18" i="30" s="1"/>
  <c r="F18" i="31"/>
  <c r="J18" i="31"/>
  <c r="B18" i="31"/>
  <c r="G19" i="19"/>
  <c r="H97" i="18"/>
  <c r="L10" i="19"/>
  <c r="I53" i="29"/>
  <c r="H91" i="18"/>
  <c r="L4" i="19"/>
  <c r="C109" i="18"/>
  <c r="E65" i="18"/>
  <c r="L94" i="18"/>
  <c r="L50" i="19"/>
  <c r="J50" i="19"/>
  <c r="J94" i="18"/>
  <c r="O50" i="19"/>
  <c r="R50" i="19" s="1"/>
  <c r="B6" i="29"/>
  <c r="K95" i="18"/>
  <c r="K51" i="19"/>
  <c r="K99" i="18"/>
  <c r="K55" i="19"/>
  <c r="J55" i="19"/>
  <c r="M55" i="19" s="1"/>
  <c r="J99" i="18"/>
  <c r="O55" i="19"/>
  <c r="R55" i="19" s="1"/>
  <c r="K13" i="19"/>
  <c r="F100" i="18"/>
  <c r="J13" i="19"/>
  <c r="O13" i="19"/>
  <c r="J97" i="18"/>
  <c r="J53" i="19"/>
  <c r="O53" i="19"/>
  <c r="R53" i="19" s="1"/>
  <c r="M60" i="19"/>
  <c r="L57" i="29"/>
  <c r="G99" i="29"/>
  <c r="L99" i="29" s="1"/>
  <c r="E65" i="19" l="1"/>
  <c r="H5" i="30"/>
  <c r="R12" i="19"/>
  <c r="F11" i="30"/>
  <c r="G11" i="30" s="1"/>
  <c r="Q11" i="19"/>
  <c r="C10" i="27"/>
  <c r="D10" i="27" s="1"/>
  <c r="E10" i="27" s="1"/>
  <c r="B10" i="32" s="1"/>
  <c r="B53" i="29"/>
  <c r="B95" i="29" s="1"/>
  <c r="M10" i="19"/>
  <c r="G52" i="29"/>
  <c r="F52" i="29"/>
  <c r="C66" i="19"/>
  <c r="F66" i="19" s="1"/>
  <c r="H66" i="19"/>
  <c r="R20" i="19"/>
  <c r="F19" i="30"/>
  <c r="G19" i="30" s="1"/>
  <c r="B20" i="29"/>
  <c r="B19" i="27"/>
  <c r="I65" i="19"/>
  <c r="L65" i="18"/>
  <c r="K65" i="18"/>
  <c r="J65" i="18"/>
  <c r="I109" i="18"/>
  <c r="R8" i="19"/>
  <c r="F7" i="30"/>
  <c r="G7" i="30" s="1"/>
  <c r="H23" i="19"/>
  <c r="E22" i="30" s="1"/>
  <c r="C23" i="19"/>
  <c r="R17" i="19"/>
  <c r="F16" i="30"/>
  <c r="G16" i="30" s="1"/>
  <c r="G49" i="29"/>
  <c r="F49" i="29"/>
  <c r="M7" i="19"/>
  <c r="E11" i="29"/>
  <c r="D11" i="29"/>
  <c r="Q54" i="19"/>
  <c r="B10" i="30"/>
  <c r="H10" i="30" s="1"/>
  <c r="I4" i="29"/>
  <c r="L51" i="29"/>
  <c r="G93" i="29"/>
  <c r="L93" i="29" s="1"/>
  <c r="P48" i="19"/>
  <c r="N48" i="19"/>
  <c r="Q48" i="19" s="1"/>
  <c r="O4" i="31"/>
  <c r="P4" i="31" s="1"/>
  <c r="B111" i="18"/>
  <c r="D67" i="18"/>
  <c r="C67" i="18"/>
  <c r="F12" i="30"/>
  <c r="G12" i="30" s="1"/>
  <c r="R13" i="19"/>
  <c r="B18" i="27"/>
  <c r="B19" i="29"/>
  <c r="M13" i="19"/>
  <c r="E55" i="29"/>
  <c r="F55" i="29"/>
  <c r="C55" i="29"/>
  <c r="D55" i="29"/>
  <c r="G55" i="29"/>
  <c r="J108" i="18"/>
  <c r="O64" i="19"/>
  <c r="R64" i="19" s="1"/>
  <c r="J64" i="19"/>
  <c r="L5" i="33"/>
  <c r="E5" i="33"/>
  <c r="J21" i="19"/>
  <c r="O21" i="19"/>
  <c r="F108" i="18"/>
  <c r="K21" i="19"/>
  <c r="E22" i="19"/>
  <c r="Q10" i="31"/>
  <c r="E10" i="32" s="1"/>
  <c r="Q10" i="32" s="1"/>
  <c r="D10" i="30"/>
  <c r="I10" i="30"/>
  <c r="R10" i="19"/>
  <c r="F9" i="30"/>
  <c r="G9" i="30" s="1"/>
  <c r="O19" i="31"/>
  <c r="P19" i="31" s="1"/>
  <c r="N63" i="19"/>
  <c r="Q63" i="19" s="1"/>
  <c r="P63" i="19"/>
  <c r="R47" i="19"/>
  <c r="C18" i="33"/>
  <c r="C26" i="33"/>
  <c r="C38" i="33"/>
  <c r="C15" i="33"/>
  <c r="D21" i="34"/>
  <c r="D22" i="34" s="1"/>
  <c r="C13" i="33"/>
  <c r="C11" i="33"/>
  <c r="C24" i="33"/>
  <c r="C21" i="33"/>
  <c r="C37" i="33"/>
  <c r="C23" i="33"/>
  <c r="C17" i="33"/>
  <c r="C16" i="33"/>
  <c r="C31" i="33"/>
  <c r="C32" i="33"/>
  <c r="C28" i="33"/>
  <c r="C22" i="33"/>
  <c r="C34" i="33"/>
  <c r="C12" i="33"/>
  <c r="C36" i="33"/>
  <c r="C35" i="33"/>
  <c r="C25" i="33"/>
  <c r="C20" i="33"/>
  <c r="C30" i="33"/>
  <c r="C40" i="33"/>
  <c r="C29" i="33"/>
  <c r="C39" i="33"/>
  <c r="C19" i="33"/>
  <c r="C33" i="33"/>
  <c r="C14" i="33"/>
  <c r="C27" i="33"/>
  <c r="O18" i="31"/>
  <c r="P18" i="31" s="1"/>
  <c r="N62" i="19"/>
  <c r="Q62" i="19" s="1"/>
  <c r="P62" i="19"/>
  <c r="AL19" i="22"/>
  <c r="E15" i="29"/>
  <c r="K51" i="29"/>
  <c r="F93" i="29"/>
  <c r="K93" i="29" s="1"/>
  <c r="D24" i="18"/>
  <c r="C24" i="18"/>
  <c r="E24" i="18" s="1"/>
  <c r="B68" i="18"/>
  <c r="B25" i="18"/>
  <c r="M57" i="19"/>
  <c r="R14" i="19"/>
  <c r="F13" i="30"/>
  <c r="G13" i="30" s="1"/>
  <c r="R16" i="19"/>
  <c r="F15" i="30"/>
  <c r="G15" i="30" s="1"/>
  <c r="D22" i="19"/>
  <c r="O11" i="31"/>
  <c r="P11" i="31" s="1"/>
  <c r="P55" i="19"/>
  <c r="N55" i="19"/>
  <c r="Q55" i="19" s="1"/>
  <c r="M50" i="19"/>
  <c r="G65" i="18"/>
  <c r="G109" i="18" s="1"/>
  <c r="F65" i="18"/>
  <c r="H65" i="18"/>
  <c r="I22" i="19"/>
  <c r="E109" i="18"/>
  <c r="F5" i="30"/>
  <c r="G5" i="30" s="1"/>
  <c r="R6" i="19"/>
  <c r="C65" i="19"/>
  <c r="H65" i="19"/>
  <c r="BK15" i="22"/>
  <c r="C11" i="29"/>
  <c r="K64" i="19"/>
  <c r="K108" i="18"/>
  <c r="E66" i="18"/>
  <c r="C110" i="18"/>
  <c r="C22" i="19"/>
  <c r="H22" i="19"/>
  <c r="O8" i="31"/>
  <c r="P8" i="31" s="1"/>
  <c r="P52" i="19"/>
  <c r="N52" i="19"/>
  <c r="R5" i="19"/>
  <c r="F4" i="30"/>
  <c r="M12" i="19"/>
  <c r="F54" i="29"/>
  <c r="C54" i="29"/>
  <c r="E54" i="29"/>
  <c r="D54" i="29"/>
  <c r="G54" i="29"/>
  <c r="R4" i="19"/>
  <c r="F3" i="30"/>
  <c r="G3" i="30" s="1"/>
  <c r="F62" i="29"/>
  <c r="M20" i="19"/>
  <c r="C62" i="29"/>
  <c r="E62" i="29"/>
  <c r="D62" i="29"/>
  <c r="G62" i="29"/>
  <c r="I14" i="30"/>
  <c r="D14" i="30"/>
  <c r="Q14" i="31"/>
  <c r="E14" i="32" s="1"/>
  <c r="Q14" i="32" s="1"/>
  <c r="M51" i="19"/>
  <c r="F50" i="29"/>
  <c r="M8" i="19"/>
  <c r="G50" i="29"/>
  <c r="M18" i="19"/>
  <c r="F60" i="29"/>
  <c r="E60" i="29"/>
  <c r="C60" i="29"/>
  <c r="G60" i="29"/>
  <c r="D60" i="29"/>
  <c r="R7" i="19"/>
  <c r="F6" i="30"/>
  <c r="G6" i="30" s="1"/>
  <c r="R19" i="19"/>
  <c r="F18" i="30"/>
  <c r="G18" i="30" s="1"/>
  <c r="B16" i="29"/>
  <c r="B15" i="27"/>
  <c r="J4" i="29"/>
  <c r="E23" i="18"/>
  <c r="M14" i="19"/>
  <c r="F56" i="29"/>
  <c r="G56" i="29"/>
  <c r="O16" i="31"/>
  <c r="P16" i="31" s="1"/>
  <c r="N60" i="19"/>
  <c r="Q60" i="19" s="1"/>
  <c r="P60" i="19"/>
  <c r="L108" i="18"/>
  <c r="L64" i="19"/>
  <c r="M53" i="19"/>
  <c r="M6" i="19"/>
  <c r="F48" i="29"/>
  <c r="G48" i="29"/>
  <c r="C48" i="29"/>
  <c r="D48" i="29"/>
  <c r="E48" i="29"/>
  <c r="D65" i="19"/>
  <c r="I66" i="18"/>
  <c r="D110" i="18"/>
  <c r="F58" i="29"/>
  <c r="M16" i="19"/>
  <c r="G58" i="29"/>
  <c r="H108" i="18"/>
  <c r="L21" i="19"/>
  <c r="C47" i="29"/>
  <c r="E47" i="29"/>
  <c r="M5" i="19"/>
  <c r="F47" i="29"/>
  <c r="G47" i="29"/>
  <c r="D47" i="29"/>
  <c r="M4" i="19"/>
  <c r="F46" i="29"/>
  <c r="G46" i="29"/>
  <c r="AM23" i="22"/>
  <c r="F19" i="29"/>
  <c r="M47" i="19"/>
  <c r="Q15" i="19"/>
  <c r="C14" i="27"/>
  <c r="D14" i="27" s="1"/>
  <c r="E14" i="27" s="1"/>
  <c r="B14" i="32" s="1"/>
  <c r="B57" i="29"/>
  <c r="B99" i="29" s="1"/>
  <c r="R18" i="19"/>
  <c r="F17" i="30"/>
  <c r="G17" i="30" s="1"/>
  <c r="M17" i="19"/>
  <c r="F59" i="29"/>
  <c r="E59" i="29"/>
  <c r="C59" i="29"/>
  <c r="D59" i="29"/>
  <c r="G59" i="29"/>
  <c r="M19" i="19"/>
  <c r="F61" i="29"/>
  <c r="C61" i="29"/>
  <c r="E61" i="29"/>
  <c r="G61" i="29"/>
  <c r="D61" i="29"/>
  <c r="H4" i="29"/>
  <c r="M59" i="19"/>
  <c r="K8" i="31"/>
  <c r="L8" i="31" s="1"/>
  <c r="M8" i="31" s="1"/>
  <c r="N9" i="19"/>
  <c r="C8" i="31"/>
  <c r="D8" i="31" s="1"/>
  <c r="E8" i="31" s="1"/>
  <c r="Q8" i="31" s="1"/>
  <c r="E8" i="32" s="1"/>
  <c r="Q8" i="32" s="1"/>
  <c r="G8" i="31"/>
  <c r="H8" i="31" s="1"/>
  <c r="I8" i="31" s="1"/>
  <c r="C8" i="30"/>
  <c r="P9" i="19"/>
  <c r="B67" i="19"/>
  <c r="K23" i="18"/>
  <c r="D67" i="19" s="1"/>
  <c r="J23" i="18"/>
  <c r="L23" i="18"/>
  <c r="E67" i="19" s="1"/>
  <c r="I61" i="29" l="1"/>
  <c r="D103" i="29"/>
  <c r="I103" i="29" s="1"/>
  <c r="F103" i="29"/>
  <c r="K103" i="29" s="1"/>
  <c r="K61" i="29"/>
  <c r="H59" i="29"/>
  <c r="N14" i="32"/>
  <c r="K19" i="29"/>
  <c r="C4" i="30"/>
  <c r="P5" i="19"/>
  <c r="G4" i="31"/>
  <c r="H4" i="31" s="1"/>
  <c r="I4" i="31" s="1"/>
  <c r="N5" i="19"/>
  <c r="C4" i="31"/>
  <c r="D4" i="31" s="1"/>
  <c r="E4" i="31" s="1"/>
  <c r="Q4" i="31" s="1"/>
  <c r="E4" i="32" s="1"/>
  <c r="Q4" i="32" s="1"/>
  <c r="K4" i="31"/>
  <c r="L4" i="31" s="1"/>
  <c r="M4" i="31" s="1"/>
  <c r="F100" i="29"/>
  <c r="K100" i="29" s="1"/>
  <c r="K58" i="29"/>
  <c r="C90" i="29"/>
  <c r="H90" i="29" s="1"/>
  <c r="H5" i="32" s="1"/>
  <c r="K5" i="32" s="1"/>
  <c r="H48" i="29"/>
  <c r="P14" i="19"/>
  <c r="G13" i="31"/>
  <c r="H13" i="31" s="1"/>
  <c r="I13" i="31" s="1"/>
  <c r="N14" i="19"/>
  <c r="K13" i="31"/>
  <c r="L13" i="31" s="1"/>
  <c r="M13" i="31" s="1"/>
  <c r="C13" i="31"/>
  <c r="D13" i="31" s="1"/>
  <c r="E13" i="31" s="1"/>
  <c r="J60" i="29"/>
  <c r="F92" i="29"/>
  <c r="K92" i="29" s="1"/>
  <c r="K50" i="29"/>
  <c r="H62" i="29"/>
  <c r="I54" i="29"/>
  <c r="D96" i="29"/>
  <c r="I96" i="29" s="1"/>
  <c r="C11" i="30"/>
  <c r="K11" i="31"/>
  <c r="L11" i="31" s="1"/>
  <c r="M11" i="31" s="1"/>
  <c r="C11" i="31"/>
  <c r="D11" i="31" s="1"/>
  <c r="E11" i="31" s="1"/>
  <c r="G11" i="31"/>
  <c r="H11" i="31" s="1"/>
  <c r="I11" i="31" s="1"/>
  <c r="N12" i="19"/>
  <c r="P12" i="19"/>
  <c r="F22" i="19"/>
  <c r="G22" i="29"/>
  <c r="F109" i="18"/>
  <c r="J22" i="19"/>
  <c r="K22" i="19"/>
  <c r="O22" i="19"/>
  <c r="N57" i="19"/>
  <c r="O13" i="31"/>
  <c r="P13" i="31" s="1"/>
  <c r="P57" i="19"/>
  <c r="I24" i="18"/>
  <c r="AL20" i="22"/>
  <c r="E16" i="29"/>
  <c r="D33" i="33"/>
  <c r="H33" i="33"/>
  <c r="H40" i="33"/>
  <c r="D40" i="33"/>
  <c r="H35" i="33"/>
  <c r="D35" i="33"/>
  <c r="H22" i="33"/>
  <c r="D22" i="33"/>
  <c r="H16" i="33"/>
  <c r="D16" i="33"/>
  <c r="H21" i="33"/>
  <c r="D21" i="33"/>
  <c r="H18" i="33"/>
  <c r="D18" i="33"/>
  <c r="D97" i="29"/>
  <c r="I97" i="29" s="1"/>
  <c r="I55" i="29"/>
  <c r="N13" i="19"/>
  <c r="K12" i="31"/>
  <c r="L12" i="31" s="1"/>
  <c r="M12" i="31" s="1"/>
  <c r="C12" i="31"/>
  <c r="D12" i="31" s="1"/>
  <c r="E12" i="31" s="1"/>
  <c r="Q12" i="31" s="1"/>
  <c r="E12" i="32" s="1"/>
  <c r="Q12" i="32" s="1"/>
  <c r="G12" i="31"/>
  <c r="H12" i="31" s="1"/>
  <c r="I12" i="31" s="1"/>
  <c r="C12" i="30"/>
  <c r="P13" i="19"/>
  <c r="J11" i="29"/>
  <c r="E95" i="29"/>
  <c r="J95" i="29" s="1"/>
  <c r="F91" i="29"/>
  <c r="K91" i="29" s="1"/>
  <c r="K49" i="29"/>
  <c r="K109" i="18"/>
  <c r="K65" i="19"/>
  <c r="N22" i="31"/>
  <c r="G66" i="19"/>
  <c r="K52" i="29"/>
  <c r="F94" i="29"/>
  <c r="K94" i="29" s="1"/>
  <c r="H67" i="19"/>
  <c r="C67" i="19"/>
  <c r="F67" i="19" s="1"/>
  <c r="C8" i="27"/>
  <c r="D8" i="27" s="1"/>
  <c r="E8" i="27" s="1"/>
  <c r="B8" i="32" s="1"/>
  <c r="Q9" i="19"/>
  <c r="B51" i="29"/>
  <c r="B93" i="29" s="1"/>
  <c r="G103" i="29"/>
  <c r="L103" i="29" s="1"/>
  <c r="L61" i="29"/>
  <c r="K18" i="31"/>
  <c r="L18" i="31" s="1"/>
  <c r="M18" i="31" s="1"/>
  <c r="P19" i="19"/>
  <c r="G18" i="31"/>
  <c r="H18" i="31" s="1"/>
  <c r="I18" i="31" s="1"/>
  <c r="N19" i="19"/>
  <c r="C18" i="31"/>
  <c r="D18" i="31" s="1"/>
  <c r="E18" i="31" s="1"/>
  <c r="Q18" i="31" s="1"/>
  <c r="E18" i="32" s="1"/>
  <c r="Q18" i="32" s="1"/>
  <c r="C18" i="30"/>
  <c r="J59" i="29"/>
  <c r="AM24" i="22"/>
  <c r="F20" i="29"/>
  <c r="K20" i="29" s="1"/>
  <c r="L46" i="29"/>
  <c r="G88" i="29"/>
  <c r="I47" i="29"/>
  <c r="D89" i="29"/>
  <c r="I89" i="29" s="1"/>
  <c r="J47" i="29"/>
  <c r="E89" i="29"/>
  <c r="J89" i="29" s="1"/>
  <c r="G100" i="29"/>
  <c r="L100" i="29" s="1"/>
  <c r="L58" i="29"/>
  <c r="L48" i="29"/>
  <c r="G90" i="29"/>
  <c r="L90" i="29" s="1"/>
  <c r="O9" i="31"/>
  <c r="P9" i="31" s="1"/>
  <c r="P53" i="19"/>
  <c r="N53" i="19"/>
  <c r="K56" i="29"/>
  <c r="F98" i="29"/>
  <c r="K98" i="29" s="1"/>
  <c r="D102" i="29"/>
  <c r="I102" i="29" s="1"/>
  <c r="I60" i="29"/>
  <c r="K60" i="29"/>
  <c r="F102" i="29"/>
  <c r="K102" i="29" s="1"/>
  <c r="N51" i="19"/>
  <c r="P51" i="19"/>
  <c r="O7" i="31"/>
  <c r="P7" i="31" s="1"/>
  <c r="L62" i="29"/>
  <c r="G104" i="29"/>
  <c r="L104" i="29" s="1"/>
  <c r="N20" i="19"/>
  <c r="C19" i="30"/>
  <c r="P20" i="19"/>
  <c r="C19" i="31"/>
  <c r="D19" i="31" s="1"/>
  <c r="E19" i="31" s="1"/>
  <c r="Q19" i="31" s="1"/>
  <c r="E19" i="32" s="1"/>
  <c r="Q19" i="32" s="1"/>
  <c r="K19" i="31"/>
  <c r="L19" i="31" s="1"/>
  <c r="M19" i="31" s="1"/>
  <c r="G19" i="31"/>
  <c r="H19" i="31" s="1"/>
  <c r="I19" i="31" s="1"/>
  <c r="E96" i="29"/>
  <c r="J96" i="29" s="1"/>
  <c r="J54" i="29"/>
  <c r="G4" i="30"/>
  <c r="H11" i="29"/>
  <c r="C95" i="29"/>
  <c r="H95" i="29" s="1"/>
  <c r="H10" i="32" s="1"/>
  <c r="K10" i="32" s="1"/>
  <c r="F65" i="19"/>
  <c r="B26" i="18"/>
  <c r="C25" i="18"/>
  <c r="D25" i="18"/>
  <c r="I25" i="18" s="1"/>
  <c r="B69" i="18"/>
  <c r="D19" i="33"/>
  <c r="H19" i="33"/>
  <c r="D30" i="33"/>
  <c r="H30" i="33"/>
  <c r="H36" i="33"/>
  <c r="D36" i="33"/>
  <c r="D28" i="33"/>
  <c r="H28" i="33"/>
  <c r="H17" i="33"/>
  <c r="D17" i="33"/>
  <c r="D24" i="33"/>
  <c r="H24" i="33"/>
  <c r="D15" i="33"/>
  <c r="H15" i="33"/>
  <c r="J10" i="30"/>
  <c r="C10" i="32"/>
  <c r="O10" i="32" s="1"/>
  <c r="R21" i="19"/>
  <c r="F20" i="30"/>
  <c r="G20" i="30" s="1"/>
  <c r="H55" i="29"/>
  <c r="E67" i="18"/>
  <c r="C111" i="18"/>
  <c r="G6" i="31"/>
  <c r="H6" i="31" s="1"/>
  <c r="I6" i="31" s="1"/>
  <c r="N7" i="19"/>
  <c r="K6" i="31"/>
  <c r="L6" i="31" s="1"/>
  <c r="M6" i="31" s="1"/>
  <c r="C6" i="31"/>
  <c r="D6" i="31" s="1"/>
  <c r="E6" i="31" s="1"/>
  <c r="Q6" i="31" s="1"/>
  <c r="E6" i="32" s="1"/>
  <c r="Q6" i="32" s="1"/>
  <c r="P7" i="19"/>
  <c r="D23" i="29"/>
  <c r="I23" i="29" s="1"/>
  <c r="F23" i="19"/>
  <c r="G23" i="29"/>
  <c r="L23" i="29" s="1"/>
  <c r="L109" i="18"/>
  <c r="L65" i="19"/>
  <c r="G94" i="29"/>
  <c r="L94" i="29" s="1"/>
  <c r="L52" i="29"/>
  <c r="N10" i="32"/>
  <c r="D8" i="30"/>
  <c r="I8" i="30"/>
  <c r="J61" i="29"/>
  <c r="G101" i="29"/>
  <c r="L101" i="29" s="1"/>
  <c r="L59" i="29"/>
  <c r="K59" i="29"/>
  <c r="F101" i="29"/>
  <c r="K101" i="29" s="1"/>
  <c r="F88" i="29"/>
  <c r="K46" i="29"/>
  <c r="G89" i="29"/>
  <c r="L89" i="29" s="1"/>
  <c r="L47" i="29"/>
  <c r="C89" i="29"/>
  <c r="H89" i="29" s="1"/>
  <c r="H4" i="32" s="1"/>
  <c r="K4" i="32" s="1"/>
  <c r="H47" i="29"/>
  <c r="I66" i="19"/>
  <c r="I110" i="18"/>
  <c r="L66" i="18"/>
  <c r="J66" i="18"/>
  <c r="K66" i="18"/>
  <c r="J48" i="29"/>
  <c r="E90" i="29"/>
  <c r="J90" i="29" s="1"/>
  <c r="F90" i="29"/>
  <c r="K90" i="29" s="1"/>
  <c r="K48" i="29"/>
  <c r="F23" i="18"/>
  <c r="H23" i="18"/>
  <c r="B24" i="19"/>
  <c r="G23" i="18"/>
  <c r="L60" i="29"/>
  <c r="G102" i="29"/>
  <c r="L102" i="29" s="1"/>
  <c r="P18" i="19"/>
  <c r="C17" i="30"/>
  <c r="K17" i="31"/>
  <c r="L17" i="31" s="1"/>
  <c r="M17" i="31" s="1"/>
  <c r="N18" i="19"/>
  <c r="G17" i="31"/>
  <c r="H17" i="31" s="1"/>
  <c r="I17" i="31" s="1"/>
  <c r="C17" i="31"/>
  <c r="D17" i="31" s="1"/>
  <c r="E17" i="31" s="1"/>
  <c r="Q17" i="31" s="1"/>
  <c r="E17" i="32" s="1"/>
  <c r="Q17" i="32" s="1"/>
  <c r="I62" i="29"/>
  <c r="D104" i="29"/>
  <c r="I104" i="29" s="1"/>
  <c r="F104" i="29"/>
  <c r="K104" i="29" s="1"/>
  <c r="K62" i="29"/>
  <c r="H54" i="29"/>
  <c r="F66" i="18"/>
  <c r="I23" i="19"/>
  <c r="H66" i="18"/>
  <c r="G66" i="18"/>
  <c r="E110" i="18"/>
  <c r="BK16" i="22"/>
  <c r="C12" i="29"/>
  <c r="O6" i="31"/>
  <c r="P6" i="31" s="1"/>
  <c r="N50" i="19"/>
  <c r="P50" i="19"/>
  <c r="B112" i="18"/>
  <c r="D68" i="18"/>
  <c r="C68" i="18"/>
  <c r="D27" i="33"/>
  <c r="H27" i="33"/>
  <c r="D39" i="33"/>
  <c r="H39" i="33"/>
  <c r="H20" i="33"/>
  <c r="D20" i="33"/>
  <c r="H12" i="33"/>
  <c r="D12" i="33"/>
  <c r="H32" i="33"/>
  <c r="D32" i="33"/>
  <c r="D23" i="33"/>
  <c r="H23" i="33"/>
  <c r="H11" i="33"/>
  <c r="D11" i="33"/>
  <c r="C41" i="33"/>
  <c r="H38" i="33"/>
  <c r="D38" i="33"/>
  <c r="F63" i="29"/>
  <c r="M21" i="19"/>
  <c r="G63" i="29"/>
  <c r="M64" i="19"/>
  <c r="K55" i="29"/>
  <c r="F97" i="29"/>
  <c r="K97" i="29" s="1"/>
  <c r="I67" i="18"/>
  <c r="D111" i="18"/>
  <c r="L49" i="29"/>
  <c r="G91" i="29"/>
  <c r="L91" i="29" s="1"/>
  <c r="O15" i="31"/>
  <c r="P15" i="31" s="1"/>
  <c r="P59" i="19"/>
  <c r="N59" i="19"/>
  <c r="H61" i="29"/>
  <c r="I59" i="29"/>
  <c r="D101" i="29"/>
  <c r="I101" i="29" s="1"/>
  <c r="C16" i="31"/>
  <c r="D16" i="31" s="1"/>
  <c r="E16" i="31" s="1"/>
  <c r="Q16" i="31" s="1"/>
  <c r="E16" i="32" s="1"/>
  <c r="Q16" i="32" s="1"/>
  <c r="N17" i="19"/>
  <c r="K16" i="31"/>
  <c r="L16" i="31" s="1"/>
  <c r="M16" i="31" s="1"/>
  <c r="P17" i="19"/>
  <c r="C16" i="30"/>
  <c r="G16" i="31"/>
  <c r="H16" i="31" s="1"/>
  <c r="I16" i="31" s="1"/>
  <c r="O3" i="31"/>
  <c r="N47" i="19"/>
  <c r="P47" i="19"/>
  <c r="G3" i="31"/>
  <c r="C3" i="30"/>
  <c r="C3" i="31"/>
  <c r="P4" i="19"/>
  <c r="K3" i="31"/>
  <c r="N4" i="19"/>
  <c r="K47" i="29"/>
  <c r="F89" i="29"/>
  <c r="K89" i="29" s="1"/>
  <c r="C15" i="30"/>
  <c r="G15" i="31"/>
  <c r="H15" i="31" s="1"/>
  <c r="I15" i="31" s="1"/>
  <c r="N16" i="19"/>
  <c r="P16" i="19"/>
  <c r="K15" i="31"/>
  <c r="L15" i="31" s="1"/>
  <c r="M15" i="31" s="1"/>
  <c r="C15" i="31"/>
  <c r="D15" i="31" s="1"/>
  <c r="E15" i="31" s="1"/>
  <c r="Q15" i="31" s="1"/>
  <c r="E15" i="32" s="1"/>
  <c r="Q15" i="32" s="1"/>
  <c r="I48" i="29"/>
  <c r="D90" i="29"/>
  <c r="I90" i="29" s="1"/>
  <c r="D5" i="32" s="1"/>
  <c r="P5" i="32" s="1"/>
  <c r="N6" i="19"/>
  <c r="K5" i="31"/>
  <c r="L5" i="31" s="1"/>
  <c r="M5" i="31" s="1"/>
  <c r="P6" i="19"/>
  <c r="C5" i="31"/>
  <c r="D5" i="31" s="1"/>
  <c r="E5" i="31" s="1"/>
  <c r="C5" i="30"/>
  <c r="G5" i="31"/>
  <c r="H5" i="31" s="1"/>
  <c r="I5" i="31" s="1"/>
  <c r="L56" i="29"/>
  <c r="G98" i="29"/>
  <c r="L98" i="29" s="1"/>
  <c r="H60" i="29"/>
  <c r="L50" i="29"/>
  <c r="G92" i="29"/>
  <c r="L92" i="29" s="1"/>
  <c r="G7" i="31"/>
  <c r="H7" i="31" s="1"/>
  <c r="I7" i="31" s="1"/>
  <c r="N8" i="19"/>
  <c r="K7" i="31"/>
  <c r="L7" i="31" s="1"/>
  <c r="M7" i="31" s="1"/>
  <c r="C7" i="31"/>
  <c r="D7" i="31" s="1"/>
  <c r="E7" i="31" s="1"/>
  <c r="P8" i="19"/>
  <c r="C7" i="30"/>
  <c r="J14" i="30"/>
  <c r="C14" i="32"/>
  <c r="O14" i="32" s="1"/>
  <c r="J62" i="29"/>
  <c r="L54" i="29"/>
  <c r="G96" i="29"/>
  <c r="L96" i="29" s="1"/>
  <c r="F96" i="29"/>
  <c r="K96" i="29" s="1"/>
  <c r="K54" i="29"/>
  <c r="Q52" i="19"/>
  <c r="D51" i="29"/>
  <c r="C51" i="29"/>
  <c r="E51" i="29"/>
  <c r="E21" i="30"/>
  <c r="H109" i="18"/>
  <c r="L22" i="19"/>
  <c r="H24" i="18"/>
  <c r="E25" i="19" s="1"/>
  <c r="F24" i="18"/>
  <c r="B25" i="19"/>
  <c r="G24" i="18"/>
  <c r="D25" i="19" s="1"/>
  <c r="J15" i="29"/>
  <c r="E99" i="29"/>
  <c r="J99" i="29" s="1"/>
  <c r="D14" i="32" s="1"/>
  <c r="P14" i="32" s="1"/>
  <c r="D14" i="33"/>
  <c r="H14" i="33"/>
  <c r="D29" i="33"/>
  <c r="H29" i="33"/>
  <c r="D25" i="33"/>
  <c r="H25" i="33"/>
  <c r="D34" i="33"/>
  <c r="H34" i="33"/>
  <c r="H31" i="33"/>
  <c r="D31" i="33"/>
  <c r="D37" i="33"/>
  <c r="H37" i="33"/>
  <c r="D13" i="33"/>
  <c r="H13" i="33"/>
  <c r="H26" i="33"/>
  <c r="D26" i="33"/>
  <c r="L55" i="29"/>
  <c r="G97" i="29"/>
  <c r="L97" i="29" s="1"/>
  <c r="J55" i="29"/>
  <c r="E97" i="29"/>
  <c r="J97" i="29" s="1"/>
  <c r="I11" i="29"/>
  <c r="D95" i="29"/>
  <c r="I95" i="29" s="1"/>
  <c r="D10" i="32" s="1"/>
  <c r="P10" i="32" s="1"/>
  <c r="J109" i="18"/>
  <c r="O65" i="19"/>
  <c r="J65" i="19"/>
  <c r="K9" i="31"/>
  <c r="L9" i="31" s="1"/>
  <c r="M9" i="31" s="1"/>
  <c r="C9" i="31"/>
  <c r="D9" i="31" s="1"/>
  <c r="E9" i="31" s="1"/>
  <c r="Q9" i="31" s="1"/>
  <c r="E9" i="32" s="1"/>
  <c r="Q9" i="32" s="1"/>
  <c r="P10" i="19"/>
  <c r="G9" i="31"/>
  <c r="H9" i="31" s="1"/>
  <c r="I9" i="31" s="1"/>
  <c r="N10" i="19"/>
  <c r="C9" i="30"/>
  <c r="E34" i="33" l="1"/>
  <c r="L34" i="33"/>
  <c r="B50" i="29"/>
  <c r="B92" i="29" s="1"/>
  <c r="C7" i="27"/>
  <c r="D7" i="27" s="1"/>
  <c r="E7" i="27" s="1"/>
  <c r="B7" i="32" s="1"/>
  <c r="Q8" i="19"/>
  <c r="D3" i="31"/>
  <c r="I16" i="30"/>
  <c r="D16" i="30"/>
  <c r="E23" i="33"/>
  <c r="L23" i="33"/>
  <c r="L39" i="33"/>
  <c r="E39" i="33"/>
  <c r="C112" i="18"/>
  <c r="E68" i="18"/>
  <c r="Q50" i="19"/>
  <c r="D49" i="29"/>
  <c r="E49" i="29"/>
  <c r="C49" i="29"/>
  <c r="J23" i="19"/>
  <c r="O23" i="19"/>
  <c r="K23" i="19"/>
  <c r="F110" i="18"/>
  <c r="I17" i="30"/>
  <c r="D17" i="30"/>
  <c r="H24" i="19"/>
  <c r="C24" i="19"/>
  <c r="K88" i="29"/>
  <c r="B22" i="31"/>
  <c r="J22" i="31"/>
  <c r="G23" i="19"/>
  <c r="B22" i="30"/>
  <c r="H22" i="30" s="1"/>
  <c r="F22" i="31"/>
  <c r="E15" i="33"/>
  <c r="L15" i="33"/>
  <c r="L19" i="33"/>
  <c r="E19" i="33"/>
  <c r="E25" i="18"/>
  <c r="Q51" i="19"/>
  <c r="C50" i="29"/>
  <c r="E50" i="29"/>
  <c r="D50" i="29"/>
  <c r="Q53" i="19"/>
  <c r="C52" i="29"/>
  <c r="E52" i="29"/>
  <c r="D52" i="29"/>
  <c r="F21" i="29"/>
  <c r="K21" i="29" s="1"/>
  <c r="AM25" i="22"/>
  <c r="D12" i="30"/>
  <c r="I12" i="30"/>
  <c r="C12" i="27"/>
  <c r="D12" i="27" s="1"/>
  <c r="E12" i="27" s="1"/>
  <c r="B12" i="32" s="1"/>
  <c r="B55" i="29"/>
  <c r="B97" i="29" s="1"/>
  <c r="Q13" i="19"/>
  <c r="AL21" i="22"/>
  <c r="E17" i="29"/>
  <c r="M22" i="19"/>
  <c r="F64" i="29"/>
  <c r="G64" i="29"/>
  <c r="D11" i="32"/>
  <c r="P11" i="32" s="1"/>
  <c r="Q13" i="31"/>
  <c r="E13" i="32" s="1"/>
  <c r="Q13" i="32" s="1"/>
  <c r="I4" i="30"/>
  <c r="D4" i="30"/>
  <c r="L37" i="33"/>
  <c r="E37" i="33"/>
  <c r="L29" i="33"/>
  <c r="E29" i="33"/>
  <c r="C9" i="27"/>
  <c r="D9" i="27" s="1"/>
  <c r="E9" i="27" s="1"/>
  <c r="B9" i="32" s="1"/>
  <c r="Q10" i="19"/>
  <c r="B52" i="29"/>
  <c r="B94" i="29" s="1"/>
  <c r="L31" i="33"/>
  <c r="E31" i="33"/>
  <c r="H51" i="29"/>
  <c r="C93" i="29"/>
  <c r="H93" i="29" s="1"/>
  <c r="H8" i="32" s="1"/>
  <c r="K8" i="32" s="1"/>
  <c r="D5" i="30"/>
  <c r="I5" i="30"/>
  <c r="C5" i="27"/>
  <c r="D5" i="27" s="1"/>
  <c r="E5" i="27" s="1"/>
  <c r="B5" i="32" s="1"/>
  <c r="B48" i="29"/>
  <c r="B90" i="29" s="1"/>
  <c r="Q6" i="19"/>
  <c r="I15" i="30"/>
  <c r="D15" i="30"/>
  <c r="C3" i="27"/>
  <c r="Q4" i="19"/>
  <c r="B46" i="29"/>
  <c r="D3" i="30"/>
  <c r="I3" i="30"/>
  <c r="Q47" i="19"/>
  <c r="C46" i="29"/>
  <c r="E46" i="29"/>
  <c r="D46" i="29"/>
  <c r="Q59" i="19"/>
  <c r="D58" i="29"/>
  <c r="E58" i="29"/>
  <c r="C58" i="29"/>
  <c r="N64" i="19"/>
  <c r="O20" i="31"/>
  <c r="P20" i="31" s="1"/>
  <c r="P64" i="19"/>
  <c r="P21" i="19"/>
  <c r="G20" i="31"/>
  <c r="H20" i="31" s="1"/>
  <c r="I20" i="31" s="1"/>
  <c r="N21" i="19"/>
  <c r="C20" i="31"/>
  <c r="D20" i="31" s="1"/>
  <c r="E20" i="31" s="1"/>
  <c r="K20" i="31"/>
  <c r="L20" i="31" s="1"/>
  <c r="M20" i="31" s="1"/>
  <c r="E11" i="33"/>
  <c r="L11" i="33"/>
  <c r="D41" i="33"/>
  <c r="L32" i="33"/>
  <c r="E32" i="33"/>
  <c r="E20" i="33"/>
  <c r="L20" i="33"/>
  <c r="I68" i="18"/>
  <c r="D112" i="18"/>
  <c r="G110" i="18"/>
  <c r="D24" i="19"/>
  <c r="K110" i="18"/>
  <c r="K66" i="19"/>
  <c r="J8" i="30"/>
  <c r="C8" i="32"/>
  <c r="O8" i="32" s="1"/>
  <c r="C6" i="30"/>
  <c r="C26" i="18"/>
  <c r="E26" i="18" s="1"/>
  <c r="D26" i="18"/>
  <c r="I26" i="18" s="1"/>
  <c r="B27" i="18"/>
  <c r="B70" i="18"/>
  <c r="L88" i="29"/>
  <c r="B61" i="29"/>
  <c r="B103" i="29" s="1"/>
  <c r="Q19" i="19"/>
  <c r="C18" i="27"/>
  <c r="D18" i="27" s="1"/>
  <c r="E18" i="27" s="1"/>
  <c r="B18" i="32" s="1"/>
  <c r="N8" i="32"/>
  <c r="L18" i="33"/>
  <c r="E18" i="33"/>
  <c r="E16" i="33"/>
  <c r="L16" i="33"/>
  <c r="E35" i="33"/>
  <c r="L35" i="33"/>
  <c r="Q57" i="19"/>
  <c r="C56" i="29"/>
  <c r="E56" i="29"/>
  <c r="D56" i="29"/>
  <c r="J21" i="31"/>
  <c r="G22" i="19"/>
  <c r="B21" i="31"/>
  <c r="F21" i="31"/>
  <c r="Q11" i="31"/>
  <c r="E11" i="32" s="1"/>
  <c r="Q11" i="32" s="1"/>
  <c r="C4" i="27"/>
  <c r="D4" i="27" s="1"/>
  <c r="E4" i="27" s="1"/>
  <c r="B4" i="32" s="1"/>
  <c r="Q5" i="19"/>
  <c r="B47" i="29"/>
  <c r="B89" i="29" s="1"/>
  <c r="I9" i="30"/>
  <c r="D9" i="30"/>
  <c r="J51" i="29"/>
  <c r="E93" i="29"/>
  <c r="J93" i="29" s="1"/>
  <c r="I7" i="30"/>
  <c r="D7" i="30"/>
  <c r="M65" i="19"/>
  <c r="E13" i="33"/>
  <c r="L13" i="33"/>
  <c r="L25" i="33"/>
  <c r="E25" i="33"/>
  <c r="L14" i="33"/>
  <c r="E14" i="33"/>
  <c r="I51" i="29"/>
  <c r="D93" i="29"/>
  <c r="I93" i="29" s="1"/>
  <c r="D8" i="32" s="1"/>
  <c r="P8" i="32" s="1"/>
  <c r="Q7" i="31"/>
  <c r="E7" i="32" s="1"/>
  <c r="Q7" i="32" s="1"/>
  <c r="Q5" i="31"/>
  <c r="E5" i="32" s="1"/>
  <c r="Q5" i="32" s="1"/>
  <c r="L3" i="31"/>
  <c r="H3" i="31"/>
  <c r="P3" i="31"/>
  <c r="L67" i="18"/>
  <c r="J67" i="18"/>
  <c r="I111" i="18"/>
  <c r="I67" i="19"/>
  <c r="K67" i="18"/>
  <c r="E38" i="33"/>
  <c r="L38" i="33"/>
  <c r="H41" i="33"/>
  <c r="C21" i="34" s="1"/>
  <c r="C22" i="34" s="1"/>
  <c r="L27" i="33"/>
  <c r="E27" i="33"/>
  <c r="H12" i="29"/>
  <c r="L23" i="19"/>
  <c r="H110" i="18"/>
  <c r="C96" i="29"/>
  <c r="H96" i="29" s="1"/>
  <c r="H11" i="32" s="1"/>
  <c r="K11" i="32" s="1"/>
  <c r="B60" i="29"/>
  <c r="B102" i="29" s="1"/>
  <c r="C17" i="27"/>
  <c r="D17" i="27" s="1"/>
  <c r="E17" i="27" s="1"/>
  <c r="B17" i="32" s="1"/>
  <c r="Q18" i="19"/>
  <c r="J110" i="18"/>
  <c r="J66" i="19"/>
  <c r="O66" i="19"/>
  <c r="R66" i="19" s="1"/>
  <c r="L24" i="33"/>
  <c r="E24" i="33"/>
  <c r="L28" i="33"/>
  <c r="E28" i="33"/>
  <c r="L30" i="33"/>
  <c r="E30" i="33"/>
  <c r="D69" i="18"/>
  <c r="B113" i="18"/>
  <c r="C69" i="18"/>
  <c r="I19" i="30"/>
  <c r="D19" i="30"/>
  <c r="D4" i="32"/>
  <c r="P4" i="32" s="1"/>
  <c r="G67" i="19"/>
  <c r="N23" i="31"/>
  <c r="D12" i="32"/>
  <c r="P12" i="32" s="1"/>
  <c r="E33" i="33"/>
  <c r="L33" i="33"/>
  <c r="K24" i="18"/>
  <c r="L24" i="18"/>
  <c r="J24" i="18"/>
  <c r="B68" i="19"/>
  <c r="R22" i="19"/>
  <c r="F21" i="30"/>
  <c r="G21" i="30" s="1"/>
  <c r="C13" i="30"/>
  <c r="R65" i="19"/>
  <c r="L26" i="33"/>
  <c r="E26" i="33"/>
  <c r="H25" i="19"/>
  <c r="C25" i="19"/>
  <c r="C15" i="27"/>
  <c r="D15" i="27" s="1"/>
  <c r="E15" i="27" s="1"/>
  <c r="B15" i="32" s="1"/>
  <c r="B58" i="29"/>
  <c r="B100" i="29" s="1"/>
  <c r="Q16" i="19"/>
  <c r="Q17" i="19"/>
  <c r="C16" i="27"/>
  <c r="D16" i="27" s="1"/>
  <c r="E16" i="27" s="1"/>
  <c r="B16" i="32" s="1"/>
  <c r="B59" i="29"/>
  <c r="B101" i="29" s="1"/>
  <c r="L63" i="29"/>
  <c r="G105" i="29"/>
  <c r="L105" i="29" s="1"/>
  <c r="F105" i="29"/>
  <c r="K105" i="29" s="1"/>
  <c r="K63" i="29"/>
  <c r="L12" i="33"/>
  <c r="E12" i="33"/>
  <c r="BK17" i="22"/>
  <c r="C13" i="29"/>
  <c r="E24" i="19"/>
  <c r="L66" i="19"/>
  <c r="L110" i="18"/>
  <c r="F10" i="32"/>
  <c r="C6" i="27"/>
  <c r="D6" i="27" s="1"/>
  <c r="E6" i="27" s="1"/>
  <c r="B6" i="32" s="1"/>
  <c r="B49" i="29"/>
  <c r="B91" i="29" s="1"/>
  <c r="Q7" i="19"/>
  <c r="G67" i="18"/>
  <c r="G111" i="18" s="1"/>
  <c r="F67" i="18"/>
  <c r="I24" i="19"/>
  <c r="H67" i="18"/>
  <c r="E111" i="18"/>
  <c r="L17" i="33"/>
  <c r="E17" i="33"/>
  <c r="L36" i="33"/>
  <c r="E36" i="33"/>
  <c r="L25" i="18"/>
  <c r="E69" i="19" s="1"/>
  <c r="K25" i="18"/>
  <c r="D69" i="19" s="1"/>
  <c r="B69" i="19"/>
  <c r="J25" i="18"/>
  <c r="N21" i="31"/>
  <c r="G65" i="19"/>
  <c r="B21" i="30" s="1"/>
  <c r="B62" i="29"/>
  <c r="B104" i="29" s="1"/>
  <c r="Q20" i="19"/>
  <c r="C19" i="27"/>
  <c r="D19" i="27" s="1"/>
  <c r="E19" i="27" s="1"/>
  <c r="B19" i="32" s="1"/>
  <c r="I18" i="30"/>
  <c r="D18" i="30"/>
  <c r="L21" i="33"/>
  <c r="E21" i="33"/>
  <c r="E22" i="33"/>
  <c r="L22" i="33"/>
  <c r="E40" i="33"/>
  <c r="L40" i="33"/>
  <c r="J16" i="29"/>
  <c r="L22" i="29"/>
  <c r="C11" i="27"/>
  <c r="D11" i="27" s="1"/>
  <c r="E11" i="27" s="1"/>
  <c r="B11" i="32" s="1"/>
  <c r="Q12" i="19"/>
  <c r="B54" i="29"/>
  <c r="B96" i="29" s="1"/>
  <c r="I11" i="30"/>
  <c r="D11" i="30"/>
  <c r="Q14" i="19"/>
  <c r="B56" i="29"/>
  <c r="B98" i="29" s="1"/>
  <c r="C13" i="27"/>
  <c r="D13" i="27" s="1"/>
  <c r="E13" i="27" s="1"/>
  <c r="B13" i="32" s="1"/>
  <c r="F14" i="32"/>
  <c r="H21" i="30" l="1"/>
  <c r="N19" i="32"/>
  <c r="BK18" i="22"/>
  <c r="C14" i="29"/>
  <c r="H14" i="29" s="1"/>
  <c r="N16" i="32"/>
  <c r="E68" i="19"/>
  <c r="C113" i="18"/>
  <c r="E69" i="18"/>
  <c r="K111" i="18"/>
  <c r="K67" i="19"/>
  <c r="L111" i="18"/>
  <c r="L67" i="19"/>
  <c r="I3" i="31"/>
  <c r="F8" i="32"/>
  <c r="D27" i="18"/>
  <c r="B71" i="18"/>
  <c r="B28" i="18"/>
  <c r="C27" i="18"/>
  <c r="E27" i="18" s="1"/>
  <c r="I6" i="30"/>
  <c r="D6" i="30"/>
  <c r="Q20" i="31"/>
  <c r="E20" i="32" s="1"/>
  <c r="Q20" i="32" s="1"/>
  <c r="C20" i="30"/>
  <c r="H58" i="29"/>
  <c r="C15" i="32"/>
  <c r="O15" i="32" s="1"/>
  <c r="J15" i="30"/>
  <c r="N5" i="32"/>
  <c r="L64" i="29"/>
  <c r="G106" i="29"/>
  <c r="L106" i="29" s="1"/>
  <c r="K64" i="29"/>
  <c r="I52" i="29"/>
  <c r="D94" i="29"/>
  <c r="I94" i="29" s="1"/>
  <c r="E23" i="30"/>
  <c r="J49" i="29"/>
  <c r="E91" i="29"/>
  <c r="J91" i="29" s="1"/>
  <c r="D22" i="29"/>
  <c r="H111" i="18"/>
  <c r="L24" i="19"/>
  <c r="G10" i="32"/>
  <c r="I10" i="32" s="1"/>
  <c r="S10" i="32"/>
  <c r="J10" i="32"/>
  <c r="L10" i="32" s="1"/>
  <c r="N15" i="32"/>
  <c r="D13" i="30"/>
  <c r="I13" i="30"/>
  <c r="D68" i="19"/>
  <c r="C19" i="32"/>
  <c r="O19" i="32" s="1"/>
  <c r="J19" i="30"/>
  <c r="N4" i="32"/>
  <c r="I56" i="29"/>
  <c r="D98" i="29"/>
  <c r="I98" i="29" s="1"/>
  <c r="J26" i="18"/>
  <c r="K26" i="18"/>
  <c r="D70" i="19" s="1"/>
  <c r="B70" i="19"/>
  <c r="L26" i="18"/>
  <c r="E70" i="19" s="1"/>
  <c r="L41" i="33"/>
  <c r="K4" i="34" s="1"/>
  <c r="C20" i="27"/>
  <c r="D20" i="27" s="1"/>
  <c r="E20" i="27" s="1"/>
  <c r="B20" i="32" s="1"/>
  <c r="B63" i="29"/>
  <c r="B105" i="29" s="1"/>
  <c r="Q21" i="19"/>
  <c r="J58" i="29"/>
  <c r="E100" i="29"/>
  <c r="J100" i="29" s="1"/>
  <c r="D88" i="29"/>
  <c r="I46" i="29"/>
  <c r="B88" i="29"/>
  <c r="N9" i="32"/>
  <c r="N22" i="19"/>
  <c r="P22" i="19"/>
  <c r="K21" i="31"/>
  <c r="G21" i="31"/>
  <c r="C21" i="31"/>
  <c r="D21" i="31" s="1"/>
  <c r="E21" i="31" s="1"/>
  <c r="J12" i="30"/>
  <c r="C12" i="32"/>
  <c r="O12" i="32" s="1"/>
  <c r="J52" i="29"/>
  <c r="E94" i="29"/>
  <c r="J94" i="29" s="1"/>
  <c r="I50" i="29"/>
  <c r="D92" i="29"/>
  <c r="I92" i="29" s="1"/>
  <c r="B22" i="27"/>
  <c r="B23" i="29"/>
  <c r="C17" i="32"/>
  <c r="O17" i="32" s="1"/>
  <c r="J17" i="30"/>
  <c r="R23" i="19"/>
  <c r="F22" i="30"/>
  <c r="G22" i="30" s="1"/>
  <c r="D91" i="29"/>
  <c r="I91" i="29" s="1"/>
  <c r="D6" i="32" s="1"/>
  <c r="P6" i="32" s="1"/>
  <c r="I49" i="29"/>
  <c r="J16" i="30"/>
  <c r="C16" i="32"/>
  <c r="O16" i="32" s="1"/>
  <c r="E3" i="31"/>
  <c r="N13" i="32"/>
  <c r="J18" i="30"/>
  <c r="C18" i="32"/>
  <c r="O18" i="32" s="1"/>
  <c r="I69" i="18"/>
  <c r="D113" i="18"/>
  <c r="M66" i="19"/>
  <c r="N17" i="32"/>
  <c r="M3" i="31"/>
  <c r="O21" i="31"/>
  <c r="N65" i="19"/>
  <c r="P65" i="19"/>
  <c r="E98" i="29"/>
  <c r="J98" i="29" s="1"/>
  <c r="J56" i="29"/>
  <c r="N18" i="32"/>
  <c r="G26" i="18"/>
  <c r="D27" i="19" s="1"/>
  <c r="B27" i="19"/>
  <c r="H26" i="18"/>
  <c r="E27" i="19" s="1"/>
  <c r="F26" i="18"/>
  <c r="E41" i="33"/>
  <c r="I4" i="34" s="1"/>
  <c r="D100" i="29"/>
  <c r="I100" i="29" s="1"/>
  <c r="D15" i="32" s="1"/>
  <c r="P15" i="32" s="1"/>
  <c r="I58" i="29"/>
  <c r="J46" i="29"/>
  <c r="E88" i="29"/>
  <c r="J5" i="30"/>
  <c r="C5" i="32"/>
  <c r="O5" i="32" s="1"/>
  <c r="J17" i="29"/>
  <c r="E101" i="29"/>
  <c r="J101" i="29" s="1"/>
  <c r="D16" i="32" s="1"/>
  <c r="P16" i="32" s="1"/>
  <c r="AM26" i="22"/>
  <c r="F22" i="29"/>
  <c r="K22" i="29" s="1"/>
  <c r="H52" i="29"/>
  <c r="C94" i="29"/>
  <c r="H94" i="29" s="1"/>
  <c r="H9" i="32" s="1"/>
  <c r="K9" i="32" s="1"/>
  <c r="J50" i="29"/>
  <c r="E92" i="29"/>
  <c r="J92" i="29" s="1"/>
  <c r="F25" i="18"/>
  <c r="B26" i="19"/>
  <c r="H25" i="18"/>
  <c r="G25" i="18"/>
  <c r="F65" i="29"/>
  <c r="M23" i="19"/>
  <c r="G65" i="29"/>
  <c r="J14" i="32"/>
  <c r="S14" i="32"/>
  <c r="G14" i="32"/>
  <c r="J11" i="30"/>
  <c r="C11" i="32"/>
  <c r="O11" i="32" s="1"/>
  <c r="N11" i="32"/>
  <c r="H69" i="19"/>
  <c r="C69" i="19"/>
  <c r="F69" i="19" s="1"/>
  <c r="K24" i="19"/>
  <c r="O24" i="19"/>
  <c r="J24" i="19"/>
  <c r="F111" i="18"/>
  <c r="N6" i="32"/>
  <c r="H13" i="29"/>
  <c r="C97" i="29"/>
  <c r="H97" i="29" s="1"/>
  <c r="H12" i="32" s="1"/>
  <c r="K12" i="32" s="1"/>
  <c r="F25" i="19"/>
  <c r="G25" i="29"/>
  <c r="L25" i="29" s="1"/>
  <c r="C68" i="19"/>
  <c r="H68" i="19"/>
  <c r="E24" i="30" s="1"/>
  <c r="J67" i="19"/>
  <c r="M67" i="19" s="1"/>
  <c r="J111" i="18"/>
  <c r="O67" i="19"/>
  <c r="C7" i="32"/>
  <c r="O7" i="32" s="1"/>
  <c r="J7" i="30"/>
  <c r="C9" i="32"/>
  <c r="O9" i="32" s="1"/>
  <c r="J9" i="30"/>
  <c r="B21" i="27"/>
  <c r="B22" i="29"/>
  <c r="H56" i="29"/>
  <c r="C98" i="29"/>
  <c r="H98" i="29" s="1"/>
  <c r="H13" i="32" s="1"/>
  <c r="K13" i="32" s="1"/>
  <c r="B114" i="18"/>
  <c r="C70" i="18"/>
  <c r="D70" i="18"/>
  <c r="L68" i="18"/>
  <c r="I68" i="19"/>
  <c r="K68" i="18"/>
  <c r="I112" i="18"/>
  <c r="J68" i="18"/>
  <c r="Q64" i="19"/>
  <c r="E63" i="29"/>
  <c r="D63" i="29"/>
  <c r="C63" i="29"/>
  <c r="H46" i="29"/>
  <c r="C88" i="29"/>
  <c r="C3" i="32"/>
  <c r="J3" i="30"/>
  <c r="D3" i="27"/>
  <c r="C4" i="32"/>
  <c r="O4" i="32" s="1"/>
  <c r="J4" i="30"/>
  <c r="AL22" i="22"/>
  <c r="E18" i="29"/>
  <c r="N12" i="32"/>
  <c r="F12" i="32"/>
  <c r="H50" i="29"/>
  <c r="C92" i="29"/>
  <c r="H92" i="29" s="1"/>
  <c r="H7" i="32" s="1"/>
  <c r="K7" i="32" s="1"/>
  <c r="D24" i="29"/>
  <c r="I24" i="29" s="1"/>
  <c r="G24" i="29"/>
  <c r="F24" i="19"/>
  <c r="H49" i="29"/>
  <c r="C91" i="29"/>
  <c r="H6" i="32" s="1"/>
  <c r="K6" i="32" s="1"/>
  <c r="E112" i="18"/>
  <c r="H68" i="18"/>
  <c r="I25" i="19"/>
  <c r="G68" i="18"/>
  <c r="G112" i="18" s="1"/>
  <c r="F68" i="18"/>
  <c r="N7" i="32"/>
  <c r="J25" i="19" l="1"/>
  <c r="F112" i="18"/>
  <c r="K25" i="19"/>
  <c r="O25" i="19"/>
  <c r="L24" i="29"/>
  <c r="J12" i="32"/>
  <c r="L12" i="32" s="1"/>
  <c r="G12" i="32"/>
  <c r="I12" i="32" s="1"/>
  <c r="S12" i="32"/>
  <c r="E3" i="27"/>
  <c r="H88" i="29"/>
  <c r="J63" i="29"/>
  <c r="K68" i="19"/>
  <c r="K112" i="18"/>
  <c r="E70" i="18"/>
  <c r="C114" i="18"/>
  <c r="R67" i="19"/>
  <c r="H26" i="19"/>
  <c r="C26" i="19"/>
  <c r="P21" i="31"/>
  <c r="I113" i="18"/>
  <c r="L69" i="18"/>
  <c r="J69" i="18"/>
  <c r="K69" i="18"/>
  <c r="I69" i="19"/>
  <c r="L21" i="31"/>
  <c r="F15" i="32"/>
  <c r="I22" i="29"/>
  <c r="F5" i="32"/>
  <c r="H27" i="18"/>
  <c r="E28" i="19" s="1"/>
  <c r="F27" i="18"/>
  <c r="G27" i="18"/>
  <c r="D28" i="19" s="1"/>
  <c r="B28" i="19"/>
  <c r="J8" i="32"/>
  <c r="L8" i="32" s="1"/>
  <c r="S8" i="32"/>
  <c r="G8" i="32"/>
  <c r="I8" i="32" s="1"/>
  <c r="H69" i="18"/>
  <c r="G69" i="18"/>
  <c r="G113" i="18" s="1"/>
  <c r="I26" i="19"/>
  <c r="E113" i="18"/>
  <c r="F69" i="18"/>
  <c r="J23" i="31"/>
  <c r="F23" i="31"/>
  <c r="G24" i="19"/>
  <c r="B23" i="31"/>
  <c r="B23" i="30"/>
  <c r="N25" i="31"/>
  <c r="G69" i="19"/>
  <c r="D26" i="19"/>
  <c r="Q3" i="31"/>
  <c r="C21" i="30"/>
  <c r="H70" i="19"/>
  <c r="C70" i="19"/>
  <c r="F70" i="19" s="1"/>
  <c r="F106" i="29"/>
  <c r="J6" i="30"/>
  <c r="C6" i="32"/>
  <c r="D28" i="18"/>
  <c r="I28" i="18" s="1"/>
  <c r="C28" i="18"/>
  <c r="B72" i="18"/>
  <c r="B29" i="18"/>
  <c r="J18" i="29"/>
  <c r="E102" i="29"/>
  <c r="J102" i="29" s="1"/>
  <c r="D17" i="32" s="1"/>
  <c r="O3" i="32"/>
  <c r="H63" i="29"/>
  <c r="J112" i="18"/>
  <c r="O68" i="19"/>
  <c r="R68" i="19" s="1"/>
  <c r="J68" i="19"/>
  <c r="L68" i="19"/>
  <c r="L112" i="18"/>
  <c r="P67" i="19"/>
  <c r="N67" i="19"/>
  <c r="Q67" i="19" s="1"/>
  <c r="O23" i="31"/>
  <c r="P23" i="31" s="1"/>
  <c r="F68" i="19"/>
  <c r="F24" i="31"/>
  <c r="B24" i="31"/>
  <c r="G25" i="19"/>
  <c r="J24" i="31"/>
  <c r="F66" i="29"/>
  <c r="M24" i="19"/>
  <c r="C66" i="29"/>
  <c r="G66" i="29"/>
  <c r="K22" i="31"/>
  <c r="L22" i="31" s="1"/>
  <c r="M22" i="31" s="1"/>
  <c r="G22" i="31"/>
  <c r="H22" i="31" s="1"/>
  <c r="I22" i="31" s="1"/>
  <c r="P23" i="19"/>
  <c r="N23" i="19"/>
  <c r="C22" i="31"/>
  <c r="D22" i="31" s="1"/>
  <c r="E26" i="19"/>
  <c r="AM27" i="22"/>
  <c r="F23" i="29"/>
  <c r="K23" i="29" s="1"/>
  <c r="J88" i="29"/>
  <c r="N66" i="19"/>
  <c r="C22" i="30" s="1"/>
  <c r="P66" i="19"/>
  <c r="O22" i="31"/>
  <c r="P22" i="31" s="1"/>
  <c r="D7" i="32"/>
  <c r="B64" i="29"/>
  <c r="C21" i="27"/>
  <c r="Q22" i="19"/>
  <c r="I88" i="29"/>
  <c r="F4" i="32"/>
  <c r="D9" i="32"/>
  <c r="P9" i="32" s="1"/>
  <c r="I20" i="30"/>
  <c r="D20" i="30"/>
  <c r="B115" i="18"/>
  <c r="D71" i="18"/>
  <c r="C71" i="18"/>
  <c r="BK19" i="22"/>
  <c r="C15" i="29"/>
  <c r="L25" i="19"/>
  <c r="H112" i="18"/>
  <c r="AL23" i="22"/>
  <c r="E19" i="29"/>
  <c r="D105" i="29"/>
  <c r="I105" i="29" s="1"/>
  <c r="I63" i="29"/>
  <c r="D114" i="18"/>
  <c r="I70" i="18"/>
  <c r="F23" i="30"/>
  <c r="R24" i="19"/>
  <c r="F11" i="32"/>
  <c r="G11" i="32" s="1"/>
  <c r="L65" i="29"/>
  <c r="G107" i="29"/>
  <c r="K65" i="29"/>
  <c r="F107" i="29"/>
  <c r="K107" i="29" s="1"/>
  <c r="C27" i="19"/>
  <c r="H27" i="19"/>
  <c r="E26" i="30" s="1"/>
  <c r="Q65" i="19"/>
  <c r="E64" i="29"/>
  <c r="C64" i="29"/>
  <c r="D64" i="29"/>
  <c r="H21" i="31"/>
  <c r="N20" i="32"/>
  <c r="D13" i="32"/>
  <c r="P13" i="32" s="1"/>
  <c r="J13" i="30"/>
  <c r="C13" i="32"/>
  <c r="I27" i="18"/>
  <c r="F16" i="32"/>
  <c r="F9" i="32" l="1"/>
  <c r="I22" i="30"/>
  <c r="D22" i="30"/>
  <c r="G9" i="32"/>
  <c r="I9" i="32" s="1"/>
  <c r="S9" i="32"/>
  <c r="J9" i="32"/>
  <c r="L9" i="32" s="1"/>
  <c r="J11" i="32"/>
  <c r="L11" i="32" s="1"/>
  <c r="I11" i="32"/>
  <c r="S11" i="32"/>
  <c r="J20" i="30"/>
  <c r="C20" i="32"/>
  <c r="AM28" i="22"/>
  <c r="F25" i="29" s="1"/>
  <c r="K25" i="29" s="1"/>
  <c r="F24" i="29"/>
  <c r="K24" i="29" s="1"/>
  <c r="F27" i="29"/>
  <c r="K27" i="29" s="1"/>
  <c r="G27" i="29"/>
  <c r="L27" i="29" s="1"/>
  <c r="F27" i="19"/>
  <c r="L107" i="29"/>
  <c r="J19" i="29"/>
  <c r="E103" i="29"/>
  <c r="H15" i="29"/>
  <c r="C99" i="29"/>
  <c r="C115" i="18"/>
  <c r="E71" i="18"/>
  <c r="D3" i="32"/>
  <c r="B106" i="29"/>
  <c r="B65" i="29"/>
  <c r="B107" i="29" s="1"/>
  <c r="C22" i="27"/>
  <c r="D22" i="27" s="1"/>
  <c r="E22" i="27" s="1"/>
  <c r="B22" i="32" s="1"/>
  <c r="Q23" i="19"/>
  <c r="E66" i="29"/>
  <c r="M68" i="19"/>
  <c r="P17" i="32"/>
  <c r="F17" i="32"/>
  <c r="B116" i="18"/>
  <c r="C72" i="18"/>
  <c r="D72" i="18"/>
  <c r="J5" i="32"/>
  <c r="L5" i="32" s="1"/>
  <c r="S5" i="32"/>
  <c r="G5" i="32"/>
  <c r="I5" i="32" s="1"/>
  <c r="J69" i="19"/>
  <c r="J113" i="18"/>
  <c r="O69" i="19"/>
  <c r="R69" i="19" s="1"/>
  <c r="B3" i="32"/>
  <c r="J4" i="32"/>
  <c r="L4" i="32" s="1"/>
  <c r="S4" i="32"/>
  <c r="G4" i="32"/>
  <c r="I4" i="32" s="1"/>
  <c r="Q66" i="19"/>
  <c r="D65" i="29"/>
  <c r="E65" i="29"/>
  <c r="C65" i="29"/>
  <c r="J70" i="18"/>
  <c r="I70" i="19"/>
  <c r="K70" i="18"/>
  <c r="I114" i="18"/>
  <c r="L70" i="18"/>
  <c r="E22" i="31"/>
  <c r="J27" i="18"/>
  <c r="L27" i="18"/>
  <c r="E71" i="19" s="1"/>
  <c r="B71" i="19"/>
  <c r="K27" i="18"/>
  <c r="D71" i="19" s="1"/>
  <c r="H64" i="29"/>
  <c r="S16" i="32"/>
  <c r="J16" i="32"/>
  <c r="G16" i="32"/>
  <c r="I21" i="31"/>
  <c r="J64" i="29"/>
  <c r="AL24" i="22"/>
  <c r="E20" i="29"/>
  <c r="BK20" i="22"/>
  <c r="C16" i="29"/>
  <c r="D115" i="18"/>
  <c r="I71" i="18"/>
  <c r="D66" i="29"/>
  <c r="K23" i="31"/>
  <c r="L23" i="31" s="1"/>
  <c r="M23" i="31" s="1"/>
  <c r="G23" i="31"/>
  <c r="H23" i="31" s="1"/>
  <c r="I23" i="31" s="1"/>
  <c r="C23" i="31"/>
  <c r="D23" i="31" s="1"/>
  <c r="E23" i="31" s="1"/>
  <c r="N24" i="19"/>
  <c r="C23" i="30"/>
  <c r="P24" i="19"/>
  <c r="B24" i="27"/>
  <c r="N24" i="31"/>
  <c r="G68" i="19"/>
  <c r="B25" i="29" s="1"/>
  <c r="E28" i="18"/>
  <c r="K106" i="29"/>
  <c r="E3" i="32"/>
  <c r="B24" i="29"/>
  <c r="B23" i="27"/>
  <c r="C28" i="19"/>
  <c r="H28" i="19"/>
  <c r="M21" i="31"/>
  <c r="L69" i="19"/>
  <c r="L113" i="18"/>
  <c r="M25" i="19"/>
  <c r="F67" i="29"/>
  <c r="G67" i="29"/>
  <c r="G23" i="30"/>
  <c r="P7" i="32"/>
  <c r="F7" i="32"/>
  <c r="L66" i="29"/>
  <c r="G108" i="29"/>
  <c r="L108" i="29" s="1"/>
  <c r="K66" i="29"/>
  <c r="F108" i="29"/>
  <c r="K108" i="29" s="1"/>
  <c r="J28" i="18"/>
  <c r="B72" i="19"/>
  <c r="K28" i="18"/>
  <c r="D72" i="19" s="1"/>
  <c r="L28" i="18"/>
  <c r="E72" i="19" s="1"/>
  <c r="F113" i="18"/>
  <c r="K26" i="19"/>
  <c r="J26" i="19"/>
  <c r="O26" i="19"/>
  <c r="H113" i="18"/>
  <c r="L26" i="19"/>
  <c r="S15" i="32"/>
  <c r="G15" i="32"/>
  <c r="J15" i="32"/>
  <c r="F26" i="19"/>
  <c r="F26" i="29"/>
  <c r="K26" i="29" s="1"/>
  <c r="G26" i="29"/>
  <c r="L26" i="29" s="1"/>
  <c r="D26" i="29"/>
  <c r="I26" i="29" s="1"/>
  <c r="C26" i="29"/>
  <c r="H26" i="29" s="1"/>
  <c r="E26" i="29"/>
  <c r="J26" i="29" s="1"/>
  <c r="H3" i="32"/>
  <c r="K3" i="32" s="1"/>
  <c r="R25" i="19"/>
  <c r="F24" i="30"/>
  <c r="G24" i="30" s="1"/>
  <c r="O13" i="32"/>
  <c r="F13" i="32"/>
  <c r="I64" i="29"/>
  <c r="D106" i="29"/>
  <c r="I106" i="29" s="1"/>
  <c r="D21" i="27"/>
  <c r="H66" i="29"/>
  <c r="C29" i="18"/>
  <c r="E29" i="18" s="1"/>
  <c r="B30" i="18"/>
  <c r="B73" i="18"/>
  <c r="D29" i="18"/>
  <c r="I29" i="18" s="1"/>
  <c r="O6" i="32"/>
  <c r="F6" i="32"/>
  <c r="N26" i="31"/>
  <c r="G70" i="19"/>
  <c r="E27" i="29" s="1"/>
  <c r="J27" i="29" s="1"/>
  <c r="D21" i="30"/>
  <c r="I21" i="30"/>
  <c r="H23" i="30"/>
  <c r="K113" i="18"/>
  <c r="K69" i="19"/>
  <c r="E25" i="30"/>
  <c r="I27" i="19"/>
  <c r="H70" i="18"/>
  <c r="G70" i="18"/>
  <c r="G114" i="18" s="1"/>
  <c r="E114" i="18"/>
  <c r="F70" i="18"/>
  <c r="J21" i="30" l="1"/>
  <c r="C21" i="32"/>
  <c r="O21" i="32" s="1"/>
  <c r="B74" i="18"/>
  <c r="D30" i="18"/>
  <c r="I30" i="18" s="1"/>
  <c r="C30" i="18"/>
  <c r="E30" i="18" s="1"/>
  <c r="B31" i="18"/>
  <c r="M26" i="19"/>
  <c r="G68" i="29"/>
  <c r="F68" i="29"/>
  <c r="F28" i="29"/>
  <c r="K28" i="29" s="1"/>
  <c r="G28" i="29"/>
  <c r="L28" i="29" s="1"/>
  <c r="F28" i="19"/>
  <c r="Q3" i="32"/>
  <c r="F28" i="18"/>
  <c r="G28" i="18"/>
  <c r="H28" i="18"/>
  <c r="E29" i="19" s="1"/>
  <c r="B29" i="19"/>
  <c r="Q24" i="19"/>
  <c r="C23" i="27"/>
  <c r="B66" i="29"/>
  <c r="B108" i="29" s="1"/>
  <c r="I66" i="29"/>
  <c r="D108" i="29"/>
  <c r="I108" i="29" s="1"/>
  <c r="H16" i="29"/>
  <c r="C100" i="29"/>
  <c r="H100" i="29" s="1"/>
  <c r="H15" i="32" s="1"/>
  <c r="K15" i="32" s="1"/>
  <c r="I65" i="29"/>
  <c r="D107" i="29"/>
  <c r="I107" i="29" s="1"/>
  <c r="J17" i="32"/>
  <c r="G17" i="32"/>
  <c r="S17" i="32"/>
  <c r="J66" i="29"/>
  <c r="P3" i="32"/>
  <c r="J22" i="30"/>
  <c r="C22" i="32"/>
  <c r="O22" i="32" s="1"/>
  <c r="K27" i="19"/>
  <c r="J27" i="19"/>
  <c r="F114" i="18"/>
  <c r="O27" i="19"/>
  <c r="F29" i="18"/>
  <c r="H29" i="18"/>
  <c r="E30" i="19" s="1"/>
  <c r="B30" i="19"/>
  <c r="G29" i="18"/>
  <c r="D30" i="19" s="1"/>
  <c r="E21" i="27"/>
  <c r="J13" i="32"/>
  <c r="L13" i="32" s="1"/>
  <c r="S13" i="32"/>
  <c r="G13" i="32"/>
  <c r="I13" i="32" s="1"/>
  <c r="J25" i="31"/>
  <c r="F25" i="31"/>
  <c r="G26" i="19"/>
  <c r="B25" i="31"/>
  <c r="B25" i="30"/>
  <c r="H25" i="30" s="1"/>
  <c r="G7" i="32"/>
  <c r="I7" i="32" s="1"/>
  <c r="S7" i="32"/>
  <c r="J7" i="32"/>
  <c r="L7" i="32" s="1"/>
  <c r="K67" i="29"/>
  <c r="F109" i="29"/>
  <c r="K109" i="29" s="1"/>
  <c r="Q23" i="31"/>
  <c r="E23" i="32" s="1"/>
  <c r="Q23" i="32" s="1"/>
  <c r="BK21" i="22"/>
  <c r="C17" i="29"/>
  <c r="C71" i="19"/>
  <c r="F71" i="19" s="1"/>
  <c r="H71" i="19"/>
  <c r="L70" i="19"/>
  <c r="L114" i="18"/>
  <c r="J70" i="19"/>
  <c r="J114" i="18"/>
  <c r="O70" i="19"/>
  <c r="D116" i="18"/>
  <c r="I72" i="18"/>
  <c r="G71" i="18"/>
  <c r="G115" i="18" s="1"/>
  <c r="H71" i="18"/>
  <c r="E115" i="18"/>
  <c r="F71" i="18"/>
  <c r="I28" i="19"/>
  <c r="J103" i="29"/>
  <c r="C27" i="29"/>
  <c r="H27" i="29" s="1"/>
  <c r="D27" i="29"/>
  <c r="I27" i="29" s="1"/>
  <c r="L27" i="19"/>
  <c r="H114" i="18"/>
  <c r="L29" i="18"/>
  <c r="E73" i="19" s="1"/>
  <c r="J29" i="18"/>
  <c r="B73" i="19"/>
  <c r="K29" i="18"/>
  <c r="D73" i="19" s="1"/>
  <c r="L15" i="32"/>
  <c r="D25" i="29"/>
  <c r="B24" i="30"/>
  <c r="I71" i="19"/>
  <c r="K71" i="18"/>
  <c r="J71" i="18"/>
  <c r="L71" i="18"/>
  <c r="I115" i="18"/>
  <c r="J20" i="29"/>
  <c r="E104" i="29"/>
  <c r="J104" i="29" s="1"/>
  <c r="D19" i="32" s="1"/>
  <c r="H65" i="29"/>
  <c r="N3" i="32"/>
  <c r="F3" i="32"/>
  <c r="E72" i="18"/>
  <c r="C116" i="18"/>
  <c r="N68" i="19"/>
  <c r="O24" i="31"/>
  <c r="P68" i="19"/>
  <c r="N22" i="32"/>
  <c r="G27" i="19"/>
  <c r="J26" i="31"/>
  <c r="F26" i="31"/>
  <c r="B26" i="31"/>
  <c r="B26" i="30"/>
  <c r="H26" i="30" s="1"/>
  <c r="G6" i="32"/>
  <c r="I6" i="32" s="1"/>
  <c r="S6" i="32"/>
  <c r="J6" i="32"/>
  <c r="L6" i="32" s="1"/>
  <c r="D73" i="18"/>
  <c r="C73" i="18"/>
  <c r="B117" i="18"/>
  <c r="I15" i="32"/>
  <c r="R26" i="19"/>
  <c r="F25" i="30"/>
  <c r="G25" i="30" s="1"/>
  <c r="C72" i="19"/>
  <c r="F72" i="19" s="1"/>
  <c r="H72" i="19"/>
  <c r="L67" i="29"/>
  <c r="G109" i="29"/>
  <c r="L109" i="29" s="1"/>
  <c r="P25" i="19"/>
  <c r="G24" i="31"/>
  <c r="H24" i="31" s="1"/>
  <c r="I24" i="31" s="1"/>
  <c r="K24" i="31"/>
  <c r="L24" i="31" s="1"/>
  <c r="N25" i="19"/>
  <c r="C24" i="31"/>
  <c r="C24" i="30"/>
  <c r="E27" i="30"/>
  <c r="I23" i="30"/>
  <c r="D23" i="30"/>
  <c r="AL25" i="22"/>
  <c r="E21" i="29"/>
  <c r="Q21" i="31"/>
  <c r="Q22" i="31"/>
  <c r="E22" i="32" s="1"/>
  <c r="Q22" i="32" s="1"/>
  <c r="K114" i="18"/>
  <c r="K70" i="19"/>
  <c r="J65" i="29"/>
  <c r="M69" i="19"/>
  <c r="H99" i="29"/>
  <c r="O20" i="32"/>
  <c r="H14" i="32" l="1"/>
  <c r="K14" i="32" s="1"/>
  <c r="J21" i="29"/>
  <c r="E105" i="29"/>
  <c r="J105" i="29" s="1"/>
  <c r="D20" i="32" s="1"/>
  <c r="Q25" i="19"/>
  <c r="B67" i="29"/>
  <c r="C24" i="27"/>
  <c r="D24" i="27" s="1"/>
  <c r="E24" i="27" s="1"/>
  <c r="B24" i="32" s="1"/>
  <c r="G72" i="19"/>
  <c r="N28" i="31"/>
  <c r="B27" i="29"/>
  <c r="B26" i="27"/>
  <c r="K71" i="19"/>
  <c r="K115" i="18"/>
  <c r="D18" i="32"/>
  <c r="L28" i="19"/>
  <c r="H115" i="18"/>
  <c r="N27" i="31"/>
  <c r="G71" i="19"/>
  <c r="BK22" i="22"/>
  <c r="C18" i="29"/>
  <c r="B21" i="32"/>
  <c r="H30" i="19"/>
  <c r="C30" i="19"/>
  <c r="H29" i="19"/>
  <c r="C29" i="19"/>
  <c r="G28" i="19"/>
  <c r="J27" i="31"/>
  <c r="F27" i="31"/>
  <c r="B27" i="31"/>
  <c r="B27" i="30"/>
  <c r="H27" i="30" s="1"/>
  <c r="L68" i="29"/>
  <c r="G110" i="29"/>
  <c r="C74" i="18"/>
  <c r="B118" i="18"/>
  <c r="D74" i="18"/>
  <c r="AL26" i="22"/>
  <c r="E22" i="29"/>
  <c r="M24" i="31"/>
  <c r="F72" i="18"/>
  <c r="E116" i="18"/>
  <c r="H72" i="18"/>
  <c r="G72" i="18"/>
  <c r="G116" i="18" s="1"/>
  <c r="I29" i="19"/>
  <c r="I25" i="29"/>
  <c r="H73" i="19"/>
  <c r="C73" i="19"/>
  <c r="F73" i="19" s="1"/>
  <c r="R70" i="19"/>
  <c r="B26" i="29"/>
  <c r="B25" i="27"/>
  <c r="R27" i="19"/>
  <c r="F26" i="30"/>
  <c r="G26" i="30" s="1"/>
  <c r="B75" i="18"/>
  <c r="B32" i="18"/>
  <c r="D31" i="18"/>
  <c r="I31" i="18" s="1"/>
  <c r="C31" i="18"/>
  <c r="E31" i="18" s="1"/>
  <c r="P69" i="19"/>
  <c r="N69" i="19"/>
  <c r="O25" i="31"/>
  <c r="P25" i="31" s="1"/>
  <c r="J23" i="30"/>
  <c r="C23" i="32"/>
  <c r="C117" i="18"/>
  <c r="E73" i="18"/>
  <c r="P24" i="31"/>
  <c r="L71" i="19"/>
  <c r="L115" i="18"/>
  <c r="O28" i="19"/>
  <c r="J28" i="19"/>
  <c r="F115" i="18"/>
  <c r="K28" i="19"/>
  <c r="D23" i="27"/>
  <c r="H30" i="18"/>
  <c r="E31" i="19" s="1"/>
  <c r="F30" i="18"/>
  <c r="B31" i="19"/>
  <c r="G30" i="18"/>
  <c r="D31" i="19" s="1"/>
  <c r="I24" i="30"/>
  <c r="D24" i="30"/>
  <c r="E21" i="32"/>
  <c r="D24" i="31"/>
  <c r="D117" i="18"/>
  <c r="I73" i="18"/>
  <c r="Q68" i="19"/>
  <c r="E67" i="29"/>
  <c r="D67" i="29"/>
  <c r="C67" i="29"/>
  <c r="S3" i="32"/>
  <c r="J3" i="32"/>
  <c r="G3" i="32"/>
  <c r="P19" i="32"/>
  <c r="F19" i="32"/>
  <c r="J115" i="18"/>
  <c r="J71" i="19"/>
  <c r="M71" i="19" s="1"/>
  <c r="O71" i="19"/>
  <c r="R71" i="19" s="1"/>
  <c r="H24" i="30"/>
  <c r="I72" i="19"/>
  <c r="K72" i="18"/>
  <c r="J72" i="18"/>
  <c r="L72" i="18"/>
  <c r="I116" i="18"/>
  <c r="M70" i="19"/>
  <c r="H17" i="29"/>
  <c r="C101" i="29"/>
  <c r="M27" i="19"/>
  <c r="G69" i="29"/>
  <c r="F69" i="29"/>
  <c r="D29" i="19"/>
  <c r="K68" i="29"/>
  <c r="F110" i="29"/>
  <c r="P26" i="19"/>
  <c r="C25" i="30"/>
  <c r="C25" i="31"/>
  <c r="D25" i="31" s="1"/>
  <c r="E25" i="31" s="1"/>
  <c r="G25" i="31"/>
  <c r="N26" i="19"/>
  <c r="K25" i="31"/>
  <c r="L25" i="31" s="1"/>
  <c r="M25" i="31" s="1"/>
  <c r="B74" i="19"/>
  <c r="L30" i="18"/>
  <c r="E74" i="19" s="1"/>
  <c r="K30" i="18"/>
  <c r="D74" i="19" s="1"/>
  <c r="J30" i="18"/>
  <c r="H25" i="31" l="1"/>
  <c r="K110" i="29"/>
  <c r="G111" i="29"/>
  <c r="L111" i="29" s="1"/>
  <c r="L69" i="29"/>
  <c r="P70" i="19"/>
  <c r="O26" i="31"/>
  <c r="P26" i="31" s="1"/>
  <c r="N70" i="19"/>
  <c r="K72" i="19"/>
  <c r="K116" i="18"/>
  <c r="G19" i="32"/>
  <c r="S19" i="32"/>
  <c r="J19" i="32"/>
  <c r="L3" i="32"/>
  <c r="J67" i="29"/>
  <c r="Q21" i="32"/>
  <c r="F27" i="30"/>
  <c r="G27" i="30" s="1"/>
  <c r="R28" i="19"/>
  <c r="O23" i="32"/>
  <c r="C75" i="18"/>
  <c r="B119" i="18"/>
  <c r="D75" i="18"/>
  <c r="D118" i="18"/>
  <c r="I74" i="18"/>
  <c r="N21" i="32"/>
  <c r="C28" i="29"/>
  <c r="H28" i="29" s="1"/>
  <c r="E28" i="29"/>
  <c r="J28" i="29" s="1"/>
  <c r="D28" i="29"/>
  <c r="P20" i="32"/>
  <c r="F20" i="32"/>
  <c r="H74" i="19"/>
  <c r="C74" i="19"/>
  <c r="F74" i="19" s="1"/>
  <c r="K26" i="31"/>
  <c r="L26" i="31" s="1"/>
  <c r="M26" i="31" s="1"/>
  <c r="N27" i="19"/>
  <c r="C26" i="30"/>
  <c r="P27" i="19"/>
  <c r="C26" i="31"/>
  <c r="D26" i="31" s="1"/>
  <c r="E26" i="31" s="1"/>
  <c r="Q26" i="31" s="1"/>
  <c r="E26" i="32" s="1"/>
  <c r="Q26" i="32" s="1"/>
  <c r="G26" i="31"/>
  <c r="H26" i="31" s="1"/>
  <c r="I26" i="31" s="1"/>
  <c r="F31" i="18"/>
  <c r="G31" i="18"/>
  <c r="D32" i="19" s="1"/>
  <c r="B32" i="19"/>
  <c r="H31" i="18"/>
  <c r="E32" i="19" s="1"/>
  <c r="N29" i="31"/>
  <c r="G73" i="19"/>
  <c r="D30" i="29" s="1"/>
  <c r="I30" i="29" s="1"/>
  <c r="L29" i="19"/>
  <c r="H116" i="18"/>
  <c r="B27" i="27"/>
  <c r="B28" i="29"/>
  <c r="F30" i="29"/>
  <c r="K30" i="29" s="1"/>
  <c r="C30" i="29"/>
  <c r="H30" i="29" s="1"/>
  <c r="F30" i="19"/>
  <c r="G30" i="29"/>
  <c r="L30" i="29" s="1"/>
  <c r="H18" i="29"/>
  <c r="C102" i="29"/>
  <c r="H102" i="29" s="1"/>
  <c r="H17" i="32" s="1"/>
  <c r="K17" i="32" s="1"/>
  <c r="P18" i="32"/>
  <c r="F18" i="32"/>
  <c r="N24" i="32"/>
  <c r="D25" i="30"/>
  <c r="I25" i="30"/>
  <c r="C25" i="27"/>
  <c r="Q26" i="19"/>
  <c r="B68" i="29"/>
  <c r="B110" i="29" s="1"/>
  <c r="F111" i="29"/>
  <c r="K111" i="29" s="1"/>
  <c r="K69" i="29"/>
  <c r="H101" i="29"/>
  <c r="L72" i="19"/>
  <c r="L116" i="18"/>
  <c r="O27" i="31"/>
  <c r="P27" i="31" s="1"/>
  <c r="N71" i="19"/>
  <c r="Q71" i="19" s="1"/>
  <c r="P71" i="19"/>
  <c r="H67" i="29"/>
  <c r="E24" i="31"/>
  <c r="J24" i="30"/>
  <c r="C24" i="32"/>
  <c r="O24" i="32" s="1"/>
  <c r="C31" i="19"/>
  <c r="H31" i="19"/>
  <c r="E30" i="30" s="1"/>
  <c r="E23" i="27"/>
  <c r="G73" i="18"/>
  <c r="G117" i="18" s="1"/>
  <c r="E117" i="18"/>
  <c r="H73" i="18"/>
  <c r="I30" i="19"/>
  <c r="F73" i="18"/>
  <c r="B75" i="19"/>
  <c r="L31" i="18"/>
  <c r="E75" i="19" s="1"/>
  <c r="J31" i="18"/>
  <c r="K31" i="18"/>
  <c r="D75" i="19" s="1"/>
  <c r="J22" i="29"/>
  <c r="E106" i="29"/>
  <c r="E74" i="18"/>
  <c r="C118" i="18"/>
  <c r="G29" i="29"/>
  <c r="L29" i="29" s="1"/>
  <c r="F29" i="19"/>
  <c r="C29" i="29"/>
  <c r="H29" i="29" s="1"/>
  <c r="F29" i="29"/>
  <c r="K29" i="29" s="1"/>
  <c r="E29" i="29"/>
  <c r="J29" i="29" s="1"/>
  <c r="D29" i="29"/>
  <c r="I29" i="29" s="1"/>
  <c r="E29" i="30"/>
  <c r="BK23" i="22"/>
  <c r="C19" i="29"/>
  <c r="B109" i="29"/>
  <c r="J116" i="18"/>
  <c r="O72" i="19"/>
  <c r="R72" i="19" s="1"/>
  <c r="J72" i="19"/>
  <c r="M72" i="19" s="1"/>
  <c r="I3" i="32"/>
  <c r="D109" i="29"/>
  <c r="I67" i="29"/>
  <c r="J73" i="18"/>
  <c r="K73" i="18"/>
  <c r="I73" i="19"/>
  <c r="L73" i="18"/>
  <c r="I117" i="18"/>
  <c r="G70" i="29"/>
  <c r="D70" i="29"/>
  <c r="M28" i="19"/>
  <c r="C70" i="29"/>
  <c r="F70" i="29"/>
  <c r="E70" i="29"/>
  <c r="Q69" i="19"/>
  <c r="C68" i="29"/>
  <c r="D68" i="29"/>
  <c r="E68" i="29"/>
  <c r="B33" i="18"/>
  <c r="B76" i="18"/>
  <c r="D32" i="18"/>
  <c r="I32" i="18" s="1"/>
  <c r="C32" i="18"/>
  <c r="E32" i="18" s="1"/>
  <c r="K29" i="19"/>
  <c r="J29" i="19"/>
  <c r="O29" i="19"/>
  <c r="F116" i="18"/>
  <c r="AL27" i="22"/>
  <c r="E23" i="29"/>
  <c r="L110" i="29"/>
  <c r="E28" i="30"/>
  <c r="I14" i="32"/>
  <c r="AL28" i="22" l="1"/>
  <c r="E25" i="29" s="1"/>
  <c r="E24" i="29"/>
  <c r="L117" i="18"/>
  <c r="L73" i="19"/>
  <c r="L14" i="32"/>
  <c r="E110" i="29"/>
  <c r="J110" i="29" s="1"/>
  <c r="J68" i="29"/>
  <c r="R29" i="19"/>
  <c r="F28" i="30"/>
  <c r="G28" i="30" s="1"/>
  <c r="B76" i="19"/>
  <c r="K32" i="18"/>
  <c r="D76" i="19" s="1"/>
  <c r="L32" i="18"/>
  <c r="E76" i="19" s="1"/>
  <c r="J32" i="18"/>
  <c r="D110" i="29"/>
  <c r="I110" i="29" s="1"/>
  <c r="D25" i="32" s="1"/>
  <c r="P25" i="32" s="1"/>
  <c r="I68" i="29"/>
  <c r="K70" i="29"/>
  <c r="F112" i="29"/>
  <c r="K112" i="29" s="1"/>
  <c r="L70" i="29"/>
  <c r="G112" i="29"/>
  <c r="L112" i="29" s="1"/>
  <c r="K117" i="18"/>
  <c r="K73" i="19"/>
  <c r="BK24" i="22"/>
  <c r="C20" i="29"/>
  <c r="D25" i="27"/>
  <c r="L17" i="32"/>
  <c r="I17" i="32"/>
  <c r="E30" i="29"/>
  <c r="J30" i="29" s="1"/>
  <c r="B69" i="29"/>
  <c r="C26" i="27"/>
  <c r="D26" i="27" s="1"/>
  <c r="E26" i="27" s="1"/>
  <c r="B26" i="32" s="1"/>
  <c r="Q27" i="19"/>
  <c r="G20" i="32"/>
  <c r="J20" i="32"/>
  <c r="S20" i="32"/>
  <c r="D119" i="18"/>
  <c r="I75" i="18"/>
  <c r="J23" i="29"/>
  <c r="E107" i="29"/>
  <c r="J107" i="29" s="1"/>
  <c r="D22" i="32" s="1"/>
  <c r="G71" i="29"/>
  <c r="F71" i="29"/>
  <c r="C71" i="29"/>
  <c r="M29" i="19"/>
  <c r="D76" i="18"/>
  <c r="C76" i="18"/>
  <c r="B120" i="18"/>
  <c r="H68" i="29"/>
  <c r="C110" i="29"/>
  <c r="H110" i="29" s="1"/>
  <c r="H25" i="32" s="1"/>
  <c r="K25" i="32" s="1"/>
  <c r="C112" i="29"/>
  <c r="H112" i="29" s="1"/>
  <c r="H27" i="32" s="1"/>
  <c r="K27" i="32" s="1"/>
  <c r="H70" i="29"/>
  <c r="J73" i="19"/>
  <c r="M73" i="19" s="1"/>
  <c r="O73" i="19"/>
  <c r="R73" i="19" s="1"/>
  <c r="J117" i="18"/>
  <c r="J30" i="19"/>
  <c r="F117" i="18"/>
  <c r="K30" i="19"/>
  <c r="O30" i="19"/>
  <c r="G31" i="29"/>
  <c r="L31" i="29" s="1"/>
  <c r="F31" i="29"/>
  <c r="K31" i="29" s="1"/>
  <c r="E31" i="29"/>
  <c r="J31" i="29" s="1"/>
  <c r="F31" i="19"/>
  <c r="Q24" i="31"/>
  <c r="J29" i="31"/>
  <c r="F29" i="31"/>
  <c r="G30" i="19"/>
  <c r="B29" i="31"/>
  <c r="B29" i="30"/>
  <c r="H29" i="30" s="1"/>
  <c r="I118" i="18"/>
  <c r="I74" i="19"/>
  <c r="L74" i="18"/>
  <c r="K74" i="18"/>
  <c r="J74" i="18"/>
  <c r="Q70" i="19"/>
  <c r="D69" i="29"/>
  <c r="C69" i="29"/>
  <c r="E69" i="29"/>
  <c r="N28" i="19"/>
  <c r="C27" i="30"/>
  <c r="P28" i="19"/>
  <c r="C27" i="31"/>
  <c r="D27" i="31" s="1"/>
  <c r="G27" i="31"/>
  <c r="H27" i="31" s="1"/>
  <c r="I27" i="31" s="1"/>
  <c r="K27" i="31"/>
  <c r="L27" i="31" s="1"/>
  <c r="M27" i="31" s="1"/>
  <c r="O28" i="31"/>
  <c r="P28" i="31" s="1"/>
  <c r="N72" i="19"/>
  <c r="Q72" i="19" s="1"/>
  <c r="P72" i="19"/>
  <c r="F74" i="18"/>
  <c r="E118" i="18"/>
  <c r="H74" i="18"/>
  <c r="G74" i="18"/>
  <c r="G118" i="18" s="1"/>
  <c r="I31" i="19"/>
  <c r="C75" i="19"/>
  <c r="F75" i="19" s="1"/>
  <c r="H75" i="19"/>
  <c r="J25" i="30"/>
  <c r="C25" i="32"/>
  <c r="O25" i="32" s="1"/>
  <c r="S18" i="32"/>
  <c r="G18" i="32"/>
  <c r="J18" i="32"/>
  <c r="G74" i="19"/>
  <c r="C31" i="29" s="1"/>
  <c r="H31" i="29" s="1"/>
  <c r="N30" i="31"/>
  <c r="C119" i="18"/>
  <c r="E75" i="18"/>
  <c r="I25" i="31"/>
  <c r="B77" i="18"/>
  <c r="C33" i="18"/>
  <c r="E33" i="18" s="1"/>
  <c r="B34" i="18"/>
  <c r="D33" i="18"/>
  <c r="I33" i="18" s="1"/>
  <c r="F32" i="18"/>
  <c r="H32" i="18"/>
  <c r="E33" i="19" s="1"/>
  <c r="B33" i="19"/>
  <c r="G32" i="18"/>
  <c r="D33" i="19" s="1"/>
  <c r="J70" i="29"/>
  <c r="E112" i="29"/>
  <c r="J112" i="29" s="1"/>
  <c r="I70" i="29"/>
  <c r="D112" i="29"/>
  <c r="I112" i="29" s="1"/>
  <c r="I109" i="29"/>
  <c r="H19" i="29"/>
  <c r="C103" i="29"/>
  <c r="G29" i="19"/>
  <c r="B28" i="30"/>
  <c r="H28" i="30" s="1"/>
  <c r="F28" i="31"/>
  <c r="B28" i="31"/>
  <c r="J28" i="31"/>
  <c r="J106" i="29"/>
  <c r="H117" i="18"/>
  <c r="L30" i="19"/>
  <c r="B23" i="32"/>
  <c r="H16" i="32"/>
  <c r="K16" i="32" s="1"/>
  <c r="C32" i="19"/>
  <c r="H32" i="19"/>
  <c r="E31" i="30" s="1"/>
  <c r="I26" i="30"/>
  <c r="D26" i="30"/>
  <c r="I28" i="29"/>
  <c r="G33" i="18" l="1"/>
  <c r="D34" i="19" s="1"/>
  <c r="H33" i="18"/>
  <c r="E34" i="19" s="1"/>
  <c r="B34" i="19"/>
  <c r="F33" i="18"/>
  <c r="F118" i="18"/>
  <c r="O31" i="19"/>
  <c r="K31" i="19"/>
  <c r="J31" i="19"/>
  <c r="I27" i="30"/>
  <c r="D27" i="30"/>
  <c r="L74" i="19"/>
  <c r="L118" i="18"/>
  <c r="C113" i="29"/>
  <c r="H113" i="29" s="1"/>
  <c r="H28" i="32" s="1"/>
  <c r="K28" i="32" s="1"/>
  <c r="H71" i="29"/>
  <c r="N23" i="32"/>
  <c r="D21" i="32"/>
  <c r="B35" i="18"/>
  <c r="D34" i="18"/>
  <c r="I34" i="18" s="1"/>
  <c r="B78" i="18"/>
  <c r="C34" i="18"/>
  <c r="E34" i="18" s="1"/>
  <c r="Q25" i="31"/>
  <c r="E25" i="32" s="1"/>
  <c r="Q25" i="32" s="1"/>
  <c r="G75" i="19"/>
  <c r="C32" i="29" s="1"/>
  <c r="H32" i="29" s="1"/>
  <c r="N31" i="31"/>
  <c r="H69" i="29"/>
  <c r="C111" i="29"/>
  <c r="H111" i="29" s="1"/>
  <c r="H26" i="32" s="1"/>
  <c r="K26" i="32" s="1"/>
  <c r="K74" i="19"/>
  <c r="K118" i="18"/>
  <c r="B30" i="31"/>
  <c r="G31" i="19"/>
  <c r="J30" i="31"/>
  <c r="B30" i="30"/>
  <c r="H30" i="30" s="1"/>
  <c r="F30" i="31"/>
  <c r="M30" i="19"/>
  <c r="F72" i="29"/>
  <c r="G72" i="29"/>
  <c r="E72" i="29"/>
  <c r="P73" i="19"/>
  <c r="O29" i="31"/>
  <c r="P29" i="31" s="1"/>
  <c r="N73" i="19"/>
  <c r="Q73" i="19" s="1"/>
  <c r="C28" i="31"/>
  <c r="D28" i="31" s="1"/>
  <c r="E28" i="31" s="1"/>
  <c r="Q28" i="31" s="1"/>
  <c r="E28" i="32" s="1"/>
  <c r="Q28" i="32" s="1"/>
  <c r="C28" i="30"/>
  <c r="K28" i="31"/>
  <c r="L28" i="31" s="1"/>
  <c r="M28" i="31" s="1"/>
  <c r="G28" i="31"/>
  <c r="H28" i="31" s="1"/>
  <c r="I28" i="31" s="1"/>
  <c r="P29" i="19"/>
  <c r="N29" i="19"/>
  <c r="E71" i="29"/>
  <c r="H20" i="29"/>
  <c r="C104" i="29"/>
  <c r="H104" i="29" s="1"/>
  <c r="H19" i="32" s="1"/>
  <c r="K19" i="32" s="1"/>
  <c r="D111" i="29"/>
  <c r="I69" i="29"/>
  <c r="R30" i="19"/>
  <c r="F29" i="30"/>
  <c r="G29" i="30" s="1"/>
  <c r="G113" i="29"/>
  <c r="L113" i="29" s="1"/>
  <c r="L71" i="29"/>
  <c r="N26" i="32"/>
  <c r="BK25" i="22"/>
  <c r="C21" i="29"/>
  <c r="F32" i="19"/>
  <c r="F32" i="29"/>
  <c r="K32" i="29" s="1"/>
  <c r="G32" i="29"/>
  <c r="L32" i="29" s="1"/>
  <c r="D32" i="29"/>
  <c r="I32" i="29" s="1"/>
  <c r="I16" i="32"/>
  <c r="H103" i="29"/>
  <c r="D27" i="32"/>
  <c r="P27" i="32" s="1"/>
  <c r="C77" i="18"/>
  <c r="B121" i="18"/>
  <c r="D77" i="18"/>
  <c r="B70" i="29"/>
  <c r="B112" i="29" s="1"/>
  <c r="Q28" i="19"/>
  <c r="C27" i="27"/>
  <c r="D27" i="27" s="1"/>
  <c r="E27" i="27" s="1"/>
  <c r="B27" i="32" s="1"/>
  <c r="B29" i="27"/>
  <c r="B30" i="29"/>
  <c r="E24" i="32"/>
  <c r="C120" i="18"/>
  <c r="E76" i="18"/>
  <c r="K71" i="29"/>
  <c r="F113" i="29"/>
  <c r="K113" i="29" s="1"/>
  <c r="P22" i="32"/>
  <c r="F22" i="32"/>
  <c r="K75" i="18"/>
  <c r="L75" i="18"/>
  <c r="I119" i="18"/>
  <c r="I75" i="19"/>
  <c r="J75" i="18"/>
  <c r="B111" i="29"/>
  <c r="C76" i="19"/>
  <c r="F76" i="19" s="1"/>
  <c r="H76" i="19"/>
  <c r="J24" i="29"/>
  <c r="E108" i="29"/>
  <c r="B28" i="27"/>
  <c r="B29" i="29"/>
  <c r="H33" i="19"/>
  <c r="C33" i="19"/>
  <c r="J26" i="30"/>
  <c r="C26" i="32"/>
  <c r="O26" i="32" s="1"/>
  <c r="K33" i="18"/>
  <c r="D77" i="19" s="1"/>
  <c r="B77" i="19"/>
  <c r="J33" i="18"/>
  <c r="L33" i="18"/>
  <c r="E77" i="19" s="1"/>
  <c r="E119" i="18"/>
  <c r="F75" i="18"/>
  <c r="I32" i="19"/>
  <c r="H75" i="18"/>
  <c r="G75" i="18"/>
  <c r="G119" i="18" s="1"/>
  <c r="L31" i="19"/>
  <c r="H118" i="18"/>
  <c r="E27" i="31"/>
  <c r="J69" i="29"/>
  <c r="E111" i="29"/>
  <c r="J111" i="29" s="1"/>
  <c r="O74" i="19"/>
  <c r="R74" i="19" s="1"/>
  <c r="J118" i="18"/>
  <c r="J74" i="19"/>
  <c r="D31" i="29"/>
  <c r="I76" i="18"/>
  <c r="D120" i="18"/>
  <c r="D71" i="29"/>
  <c r="E25" i="27"/>
  <c r="J25" i="29"/>
  <c r="E109" i="29"/>
  <c r="J109" i="29" s="1"/>
  <c r="D24" i="32" s="1"/>
  <c r="P24" i="32" l="1"/>
  <c r="F24" i="32"/>
  <c r="Q27" i="31"/>
  <c r="G73" i="29"/>
  <c r="M31" i="19"/>
  <c r="F73" i="29"/>
  <c r="N32" i="31"/>
  <c r="G76" i="19"/>
  <c r="D33" i="29" s="1"/>
  <c r="I33" i="29" s="1"/>
  <c r="L119" i="18"/>
  <c r="L75" i="19"/>
  <c r="N27" i="32"/>
  <c r="C121" i="18"/>
  <c r="E77" i="18"/>
  <c r="B31" i="31"/>
  <c r="F31" i="31"/>
  <c r="B31" i="30"/>
  <c r="H31" i="30" s="1"/>
  <c r="J31" i="31"/>
  <c r="G32" i="19"/>
  <c r="L72" i="29"/>
  <c r="G114" i="29"/>
  <c r="L114" i="29" s="1"/>
  <c r="P30" i="19"/>
  <c r="C29" i="30"/>
  <c r="N30" i="19"/>
  <c r="C29" i="31"/>
  <c r="D29" i="31" s="1"/>
  <c r="E29" i="31" s="1"/>
  <c r="G29" i="31"/>
  <c r="H29" i="31" s="1"/>
  <c r="I29" i="31" s="1"/>
  <c r="K29" i="31"/>
  <c r="L29" i="31" s="1"/>
  <c r="M29" i="31" s="1"/>
  <c r="B31" i="29"/>
  <c r="B30" i="27"/>
  <c r="F34" i="18"/>
  <c r="H34" i="18"/>
  <c r="E35" i="19" s="1"/>
  <c r="B35" i="19"/>
  <c r="G34" i="18"/>
  <c r="D35" i="19" s="1"/>
  <c r="L76" i="18"/>
  <c r="K76" i="18"/>
  <c r="I76" i="19"/>
  <c r="J76" i="18"/>
  <c r="I120" i="18"/>
  <c r="H119" i="18"/>
  <c r="L32" i="19"/>
  <c r="H18" i="32"/>
  <c r="K18" i="32" s="1"/>
  <c r="K72" i="29"/>
  <c r="F114" i="29"/>
  <c r="K114" i="29" s="1"/>
  <c r="C35" i="18"/>
  <c r="E35" i="18" s="1"/>
  <c r="D35" i="18"/>
  <c r="I35" i="18" s="1"/>
  <c r="B79" i="18"/>
  <c r="B36" i="18"/>
  <c r="H34" i="19"/>
  <c r="C34" i="19"/>
  <c r="H77" i="19"/>
  <c r="C77" i="19"/>
  <c r="F77" i="19" s="1"/>
  <c r="D113" i="29"/>
  <c r="I113" i="29" s="1"/>
  <c r="I71" i="29"/>
  <c r="M74" i="19"/>
  <c r="O32" i="19"/>
  <c r="F119" i="18"/>
  <c r="K32" i="19"/>
  <c r="J32" i="19"/>
  <c r="F33" i="29"/>
  <c r="K33" i="29" s="1"/>
  <c r="F33" i="19"/>
  <c r="G33" i="29"/>
  <c r="L33" i="29" s="1"/>
  <c r="J108" i="29"/>
  <c r="J75" i="19"/>
  <c r="O75" i="19"/>
  <c r="R75" i="19" s="1"/>
  <c r="J119" i="18"/>
  <c r="K75" i="19"/>
  <c r="K119" i="18"/>
  <c r="Q24" i="32"/>
  <c r="E32" i="29"/>
  <c r="J32" i="29" s="1"/>
  <c r="H21" i="29"/>
  <c r="C105" i="29"/>
  <c r="H105" i="29" s="1"/>
  <c r="H20" i="32" s="1"/>
  <c r="K20" i="32" s="1"/>
  <c r="J71" i="29"/>
  <c r="E113" i="29"/>
  <c r="J113" i="29" s="1"/>
  <c r="C72" i="29"/>
  <c r="D78" i="18"/>
  <c r="B122" i="18"/>
  <c r="C78" i="18"/>
  <c r="P21" i="32"/>
  <c r="F21" i="32"/>
  <c r="C27" i="32"/>
  <c r="O27" i="32" s="1"/>
  <c r="J27" i="30"/>
  <c r="R31" i="19"/>
  <c r="F30" i="30"/>
  <c r="G30" i="30" s="1"/>
  <c r="B25" i="32"/>
  <c r="L19" i="32"/>
  <c r="I19" i="32"/>
  <c r="E114" i="29"/>
  <c r="J114" i="29" s="1"/>
  <c r="J72" i="29"/>
  <c r="I31" i="29"/>
  <c r="E32" i="30"/>
  <c r="G22" i="32"/>
  <c r="S22" i="32"/>
  <c r="J22" i="32"/>
  <c r="F76" i="18"/>
  <c r="H76" i="18"/>
  <c r="G76" i="18"/>
  <c r="G120" i="18" s="1"/>
  <c r="E120" i="18"/>
  <c r="I33" i="19"/>
  <c r="I77" i="18"/>
  <c r="D121" i="18"/>
  <c r="L16" i="32"/>
  <c r="BK26" i="22"/>
  <c r="C22" i="29"/>
  <c r="I111" i="29"/>
  <c r="C28" i="27"/>
  <c r="D28" i="27" s="1"/>
  <c r="B71" i="29"/>
  <c r="B113" i="29" s="1"/>
  <c r="Q29" i="19"/>
  <c r="D28" i="30"/>
  <c r="I28" i="30"/>
  <c r="D72" i="29"/>
  <c r="L34" i="18"/>
  <c r="E78" i="19" s="1"/>
  <c r="J34" i="18"/>
  <c r="B78" i="19"/>
  <c r="K34" i="18"/>
  <c r="D78" i="19" s="1"/>
  <c r="E28" i="27" l="1"/>
  <c r="O30" i="31"/>
  <c r="P30" i="31" s="1"/>
  <c r="N74" i="19"/>
  <c r="C30" i="30" s="1"/>
  <c r="P74" i="19"/>
  <c r="C79" i="18"/>
  <c r="B123" i="18"/>
  <c r="D79" i="18"/>
  <c r="H78" i="19"/>
  <c r="C78" i="19"/>
  <c r="F78" i="19" s="1"/>
  <c r="C28" i="32"/>
  <c r="O28" i="32" s="1"/>
  <c r="J28" i="30"/>
  <c r="I121" i="18"/>
  <c r="J77" i="18"/>
  <c r="K77" i="18"/>
  <c r="I77" i="19"/>
  <c r="L77" i="18"/>
  <c r="H120" i="18"/>
  <c r="L33" i="19"/>
  <c r="G21" i="32"/>
  <c r="S21" i="32"/>
  <c r="J21" i="32"/>
  <c r="D122" i="18"/>
  <c r="I78" i="18"/>
  <c r="L20" i="32"/>
  <c r="I20" i="32"/>
  <c r="D23" i="32"/>
  <c r="B32" i="31"/>
  <c r="B32" i="30"/>
  <c r="H32" i="30" s="1"/>
  <c r="F32" i="31"/>
  <c r="J32" i="31"/>
  <c r="G33" i="19"/>
  <c r="G34" i="29"/>
  <c r="L34" i="29" s="1"/>
  <c r="F34" i="19"/>
  <c r="F34" i="29"/>
  <c r="K34" i="29" s="1"/>
  <c r="J35" i="18"/>
  <c r="B79" i="19"/>
  <c r="L35" i="18"/>
  <c r="E79" i="19" s="1"/>
  <c r="K35" i="18"/>
  <c r="D79" i="19" s="1"/>
  <c r="L120" i="18"/>
  <c r="L76" i="19"/>
  <c r="D29" i="30"/>
  <c r="I29" i="30"/>
  <c r="B32" i="29"/>
  <c r="B31" i="27"/>
  <c r="E27" i="32"/>
  <c r="BK27" i="22"/>
  <c r="C23" i="29"/>
  <c r="K120" i="18"/>
  <c r="K76" i="19"/>
  <c r="G30" i="31"/>
  <c r="H30" i="31" s="1"/>
  <c r="I30" i="31" s="1"/>
  <c r="K30" i="31"/>
  <c r="L30" i="31" s="1"/>
  <c r="M30" i="31" s="1"/>
  <c r="N31" i="19"/>
  <c r="C30" i="31"/>
  <c r="D30" i="31" s="1"/>
  <c r="E30" i="31" s="1"/>
  <c r="P31" i="19"/>
  <c r="D26" i="32"/>
  <c r="K33" i="19"/>
  <c r="F120" i="18"/>
  <c r="O33" i="19"/>
  <c r="J33" i="19"/>
  <c r="H72" i="29"/>
  <c r="C114" i="29"/>
  <c r="H114" i="29" s="1"/>
  <c r="H29" i="32" s="1"/>
  <c r="K29" i="32" s="1"/>
  <c r="C33" i="29"/>
  <c r="H33" i="29" s="1"/>
  <c r="E33" i="29"/>
  <c r="J33" i="29" s="1"/>
  <c r="D28" i="32"/>
  <c r="P28" i="32" s="1"/>
  <c r="E33" i="30"/>
  <c r="H35" i="18"/>
  <c r="E36" i="19" s="1"/>
  <c r="B36" i="19"/>
  <c r="F35" i="18"/>
  <c r="G35" i="18"/>
  <c r="D36" i="19" s="1"/>
  <c r="I18" i="32"/>
  <c r="O76" i="19"/>
  <c r="R76" i="19" s="1"/>
  <c r="J120" i="18"/>
  <c r="J76" i="19"/>
  <c r="C35" i="19"/>
  <c r="H35" i="19"/>
  <c r="E34" i="30" s="1"/>
  <c r="E121" i="18"/>
  <c r="G77" i="18"/>
  <c r="G121" i="18" s="1"/>
  <c r="H77" i="18"/>
  <c r="F77" i="18"/>
  <c r="I34" i="19"/>
  <c r="J24" i="32"/>
  <c r="S24" i="32"/>
  <c r="G24" i="32"/>
  <c r="G74" i="29"/>
  <c r="M32" i="19"/>
  <c r="F74" i="29"/>
  <c r="C29" i="27"/>
  <c r="D29" i="27" s="1"/>
  <c r="E29" i="27" s="1"/>
  <c r="B29" i="32" s="1"/>
  <c r="Q30" i="19"/>
  <c r="B72" i="29"/>
  <c r="B114" i="29" s="1"/>
  <c r="D114" i="29"/>
  <c r="I114" i="29" s="1"/>
  <c r="D29" i="32" s="1"/>
  <c r="P29" i="32" s="1"/>
  <c r="I72" i="29"/>
  <c r="H22" i="29"/>
  <c r="C106" i="29"/>
  <c r="H106" i="29" s="1"/>
  <c r="H21" i="32" s="1"/>
  <c r="K21" i="32" s="1"/>
  <c r="N25" i="32"/>
  <c r="F25" i="32"/>
  <c r="C122" i="18"/>
  <c r="E78" i="18"/>
  <c r="M75" i="19"/>
  <c r="R32" i="19"/>
  <c r="F31" i="30"/>
  <c r="G31" i="30" s="1"/>
  <c r="N33" i="31"/>
  <c r="G77" i="19"/>
  <c r="E34" i="29" s="1"/>
  <c r="J34" i="29" s="1"/>
  <c r="C36" i="18"/>
  <c r="E36" i="18" s="1"/>
  <c r="B37" i="18"/>
  <c r="B80" i="18"/>
  <c r="D36" i="18"/>
  <c r="I36" i="18" s="1"/>
  <c r="Q29" i="31"/>
  <c r="E29" i="32" s="1"/>
  <c r="Q29" i="32" s="1"/>
  <c r="F115" i="29"/>
  <c r="K115" i="29" s="1"/>
  <c r="K73" i="29"/>
  <c r="L73" i="29"/>
  <c r="G115" i="29"/>
  <c r="L115" i="29" s="1"/>
  <c r="I30" i="30" l="1"/>
  <c r="D30" i="30"/>
  <c r="J25" i="32"/>
  <c r="L25" i="32" s="1"/>
  <c r="S25" i="32"/>
  <c r="G25" i="32"/>
  <c r="I25" i="32" s="1"/>
  <c r="J34" i="19"/>
  <c r="O34" i="19"/>
  <c r="K34" i="19"/>
  <c r="F121" i="18"/>
  <c r="H23" i="29"/>
  <c r="C107" i="29"/>
  <c r="H107" i="29" s="1"/>
  <c r="H22" i="32" s="1"/>
  <c r="K22" i="32" s="1"/>
  <c r="I79" i="18"/>
  <c r="D123" i="18"/>
  <c r="C80" i="18"/>
  <c r="B124" i="18"/>
  <c r="D80" i="18"/>
  <c r="G78" i="18"/>
  <c r="G122" i="18" s="1"/>
  <c r="I35" i="19"/>
  <c r="E122" i="18"/>
  <c r="F78" i="18"/>
  <c r="H78" i="18"/>
  <c r="N29" i="32"/>
  <c r="F116" i="29"/>
  <c r="K116" i="29" s="1"/>
  <c r="K74" i="29"/>
  <c r="L34" i="19"/>
  <c r="H121" i="18"/>
  <c r="F75" i="29"/>
  <c r="G75" i="29"/>
  <c r="M33" i="19"/>
  <c r="BK28" i="22"/>
  <c r="C25" i="29" s="1"/>
  <c r="C24" i="29"/>
  <c r="B32" i="27"/>
  <c r="B33" i="29"/>
  <c r="L21" i="32"/>
  <c r="K121" i="18"/>
  <c r="K77" i="19"/>
  <c r="Q74" i="19"/>
  <c r="E73" i="29"/>
  <c r="D73" i="29"/>
  <c r="C73" i="29"/>
  <c r="C37" i="18"/>
  <c r="E37" i="18" s="1"/>
  <c r="B81" i="18"/>
  <c r="B38" i="18"/>
  <c r="D37" i="18"/>
  <c r="I37" i="18" s="1"/>
  <c r="N32" i="19"/>
  <c r="C31" i="31"/>
  <c r="D31" i="31" s="1"/>
  <c r="E31" i="31" s="1"/>
  <c r="Q31" i="31" s="1"/>
  <c r="E31" i="32" s="1"/>
  <c r="Q31" i="32" s="1"/>
  <c r="G31" i="31"/>
  <c r="H31" i="31" s="1"/>
  <c r="I31" i="31" s="1"/>
  <c r="K31" i="31"/>
  <c r="L31" i="31" s="1"/>
  <c r="M31" i="31" s="1"/>
  <c r="P32" i="19"/>
  <c r="F35" i="19"/>
  <c r="E35" i="29"/>
  <c r="J35" i="29" s="1"/>
  <c r="G35" i="29"/>
  <c r="L35" i="29" s="1"/>
  <c r="F35" i="29"/>
  <c r="K35" i="29" s="1"/>
  <c r="H36" i="19"/>
  <c r="C36" i="19"/>
  <c r="F32" i="30"/>
  <c r="G32" i="30" s="1"/>
  <c r="R33" i="19"/>
  <c r="Q30" i="31"/>
  <c r="E30" i="32" s="1"/>
  <c r="Q30" i="32" s="1"/>
  <c r="H79" i="19"/>
  <c r="C79" i="19"/>
  <c r="F79" i="19" s="1"/>
  <c r="C34" i="29"/>
  <c r="H34" i="29" s="1"/>
  <c r="I122" i="18"/>
  <c r="L78" i="18"/>
  <c r="J78" i="18"/>
  <c r="I78" i="19"/>
  <c r="K78" i="18"/>
  <c r="J77" i="19"/>
  <c r="M77" i="19" s="1"/>
  <c r="O77" i="19"/>
  <c r="R77" i="19" s="1"/>
  <c r="J121" i="18"/>
  <c r="G78" i="19"/>
  <c r="C35" i="29" s="1"/>
  <c r="H35" i="29" s="1"/>
  <c r="N34" i="31"/>
  <c r="E79" i="18"/>
  <c r="C123" i="18"/>
  <c r="B80" i="19"/>
  <c r="L36" i="18"/>
  <c r="E80" i="19" s="1"/>
  <c r="J36" i="18"/>
  <c r="K36" i="18"/>
  <c r="D80" i="19" s="1"/>
  <c r="N75" i="19"/>
  <c r="P75" i="19"/>
  <c r="O31" i="31"/>
  <c r="P31" i="31" s="1"/>
  <c r="L18" i="32"/>
  <c r="D34" i="29"/>
  <c r="I34" i="29" s="1"/>
  <c r="G36" i="18"/>
  <c r="D37" i="19" s="1"/>
  <c r="F36" i="18"/>
  <c r="H36" i="18"/>
  <c r="E37" i="19" s="1"/>
  <c r="B37" i="19"/>
  <c r="G116" i="29"/>
  <c r="L116" i="29" s="1"/>
  <c r="L74" i="29"/>
  <c r="M76" i="19"/>
  <c r="P26" i="32"/>
  <c r="F26" i="32"/>
  <c r="C30" i="27"/>
  <c r="D30" i="27" s="1"/>
  <c r="E30" i="27" s="1"/>
  <c r="B30" i="32" s="1"/>
  <c r="B73" i="29"/>
  <c r="B115" i="29" s="1"/>
  <c r="Q31" i="19"/>
  <c r="Q27" i="32"/>
  <c r="F27" i="32"/>
  <c r="J29" i="30"/>
  <c r="C29" i="32"/>
  <c r="O29" i="32" s="1"/>
  <c r="B33" i="31"/>
  <c r="J33" i="31"/>
  <c r="G34" i="19"/>
  <c r="B33" i="30"/>
  <c r="H33" i="30" s="1"/>
  <c r="F33" i="31"/>
  <c r="P23" i="32"/>
  <c r="F23" i="32"/>
  <c r="I21" i="32"/>
  <c r="L77" i="19"/>
  <c r="L121" i="18"/>
  <c r="B28" i="32"/>
  <c r="J73" i="29" l="1"/>
  <c r="E115" i="29"/>
  <c r="J115" i="29" s="1"/>
  <c r="K75" i="29"/>
  <c r="F117" i="29"/>
  <c r="K117" i="29" s="1"/>
  <c r="I80" i="18"/>
  <c r="D124" i="18"/>
  <c r="N28" i="32"/>
  <c r="F28" i="32"/>
  <c r="J27" i="32"/>
  <c r="L27" i="32" s="1"/>
  <c r="S27" i="32"/>
  <c r="G27" i="32"/>
  <c r="I27" i="32" s="1"/>
  <c r="N30" i="32"/>
  <c r="O32" i="31"/>
  <c r="P32" i="31" s="1"/>
  <c r="P76" i="19"/>
  <c r="N76" i="19"/>
  <c r="Q75" i="19"/>
  <c r="C74" i="29"/>
  <c r="D74" i="29"/>
  <c r="E74" i="29"/>
  <c r="D35" i="29"/>
  <c r="I35" i="29" s="1"/>
  <c r="C31" i="30"/>
  <c r="B74" i="29"/>
  <c r="B116" i="29" s="1"/>
  <c r="Q32" i="19"/>
  <c r="C31" i="27"/>
  <c r="D31" i="27" s="1"/>
  <c r="E31" i="27" s="1"/>
  <c r="B31" i="32" s="1"/>
  <c r="B38" i="19"/>
  <c r="H37" i="18"/>
  <c r="E38" i="19" s="1"/>
  <c r="G37" i="18"/>
  <c r="D38" i="19" s="1"/>
  <c r="F37" i="18"/>
  <c r="H24" i="29"/>
  <c r="C108" i="29"/>
  <c r="H108" i="29" s="1"/>
  <c r="H23" i="32" s="1"/>
  <c r="K23" i="32" s="1"/>
  <c r="L75" i="29"/>
  <c r="G117" i="29"/>
  <c r="L117" i="29" s="1"/>
  <c r="F29" i="32"/>
  <c r="L22" i="32"/>
  <c r="I22" i="32"/>
  <c r="R34" i="19"/>
  <c r="F33" i="30"/>
  <c r="G33" i="30" s="1"/>
  <c r="K122" i="18"/>
  <c r="K78" i="19"/>
  <c r="J26" i="32"/>
  <c r="L26" i="32" s="1"/>
  <c r="G26" i="32"/>
  <c r="I26" i="32" s="1"/>
  <c r="S26" i="32"/>
  <c r="C37" i="19"/>
  <c r="H37" i="19"/>
  <c r="O78" i="19"/>
  <c r="R78" i="19" s="1"/>
  <c r="J78" i="19"/>
  <c r="J122" i="18"/>
  <c r="N35" i="31"/>
  <c r="G79" i="19"/>
  <c r="C36" i="29" s="1"/>
  <c r="H36" i="29" s="1"/>
  <c r="F36" i="19"/>
  <c r="F36" i="29"/>
  <c r="K36" i="29" s="1"/>
  <c r="G36" i="29"/>
  <c r="L36" i="29" s="1"/>
  <c r="B34" i="31"/>
  <c r="J34" i="31"/>
  <c r="B34" i="30"/>
  <c r="H34" i="30" s="1"/>
  <c r="G35" i="19"/>
  <c r="F34" i="31"/>
  <c r="L37" i="18"/>
  <c r="E81" i="19" s="1"/>
  <c r="J37" i="18"/>
  <c r="K37" i="18"/>
  <c r="D81" i="19" s="1"/>
  <c r="B81" i="19"/>
  <c r="H73" i="29"/>
  <c r="C115" i="29"/>
  <c r="H115" i="29" s="1"/>
  <c r="H30" i="32" s="1"/>
  <c r="K30" i="32" s="1"/>
  <c r="H25" i="29"/>
  <c r="C109" i="29"/>
  <c r="H109" i="29" s="1"/>
  <c r="H24" i="32" s="1"/>
  <c r="K24" i="32" s="1"/>
  <c r="E80" i="18"/>
  <c r="C124" i="18"/>
  <c r="G76" i="29"/>
  <c r="M34" i="19"/>
  <c r="E76" i="29"/>
  <c r="F76" i="29"/>
  <c r="C30" i="32"/>
  <c r="O30" i="32" s="1"/>
  <c r="J30" i="30"/>
  <c r="P77" i="19"/>
  <c r="N77" i="19"/>
  <c r="Q77" i="19" s="1"/>
  <c r="O33" i="31"/>
  <c r="P33" i="31" s="1"/>
  <c r="B125" i="18"/>
  <c r="C81" i="18"/>
  <c r="D81" i="18"/>
  <c r="F122" i="18"/>
  <c r="K35" i="19"/>
  <c r="J35" i="19"/>
  <c r="O35" i="19"/>
  <c r="I123" i="18"/>
  <c r="J79" i="18"/>
  <c r="K79" i="18"/>
  <c r="L79" i="18"/>
  <c r="I79" i="19"/>
  <c r="J23" i="32"/>
  <c r="S23" i="32"/>
  <c r="G23" i="32"/>
  <c r="B33" i="27"/>
  <c r="B34" i="29"/>
  <c r="C80" i="19"/>
  <c r="F80" i="19" s="1"/>
  <c r="H80" i="19"/>
  <c r="G79" i="18"/>
  <c r="G123" i="18" s="1"/>
  <c r="I36" i="19"/>
  <c r="E123" i="18"/>
  <c r="H79" i="18"/>
  <c r="F79" i="18"/>
  <c r="L78" i="19"/>
  <c r="L122" i="18"/>
  <c r="E35" i="30"/>
  <c r="B39" i="18"/>
  <c r="B82" i="18"/>
  <c r="D38" i="18"/>
  <c r="I38" i="18" s="1"/>
  <c r="C38" i="18"/>
  <c r="E38" i="18" s="1"/>
  <c r="I73" i="29"/>
  <c r="D115" i="29"/>
  <c r="I115" i="29" s="1"/>
  <c r="D30" i="32" s="1"/>
  <c r="P33" i="19"/>
  <c r="N33" i="19"/>
  <c r="K32" i="31"/>
  <c r="L32" i="31" s="1"/>
  <c r="M32" i="31" s="1"/>
  <c r="C32" i="30"/>
  <c r="G32" i="31"/>
  <c r="H32" i="31" s="1"/>
  <c r="I32" i="31" s="1"/>
  <c r="C32" i="31"/>
  <c r="D32" i="31" s="1"/>
  <c r="E32" i="31" s="1"/>
  <c r="Q32" i="31" s="1"/>
  <c r="E32" i="32" s="1"/>
  <c r="H122" i="18"/>
  <c r="L35" i="19"/>
  <c r="L36" i="19" l="1"/>
  <c r="H123" i="18"/>
  <c r="G28" i="32"/>
  <c r="I28" i="32" s="1"/>
  <c r="J28" i="32"/>
  <c r="L28" i="32" s="1"/>
  <c r="S28" i="32"/>
  <c r="L38" i="18"/>
  <c r="E82" i="19" s="1"/>
  <c r="B82" i="19"/>
  <c r="K38" i="18"/>
  <c r="D82" i="19" s="1"/>
  <c r="J38" i="18"/>
  <c r="N36" i="31"/>
  <c r="G80" i="19"/>
  <c r="I23" i="32"/>
  <c r="L79" i="19"/>
  <c r="L123" i="18"/>
  <c r="R35" i="19"/>
  <c r="F34" i="30"/>
  <c r="G34" i="30" s="1"/>
  <c r="D125" i="18"/>
  <c r="I81" i="18"/>
  <c r="C76" i="29"/>
  <c r="D76" i="29"/>
  <c r="L24" i="32"/>
  <c r="I24" i="32"/>
  <c r="D36" i="29"/>
  <c r="I36" i="29" s="1"/>
  <c r="S29" i="32"/>
  <c r="J29" i="32"/>
  <c r="L29" i="32" s="1"/>
  <c r="G29" i="32"/>
  <c r="I29" i="32" s="1"/>
  <c r="I31" i="30"/>
  <c r="D31" i="30"/>
  <c r="C116" i="29"/>
  <c r="H116" i="29" s="1"/>
  <c r="H31" i="32" s="1"/>
  <c r="K31" i="32" s="1"/>
  <c r="H74" i="29"/>
  <c r="G38" i="18"/>
  <c r="D39" i="19" s="1"/>
  <c r="F38" i="18"/>
  <c r="B39" i="19"/>
  <c r="H38" i="18"/>
  <c r="E39" i="19" s="1"/>
  <c r="N34" i="19"/>
  <c r="C33" i="30"/>
  <c r="K33" i="31"/>
  <c r="L33" i="31" s="1"/>
  <c r="M33" i="31" s="1"/>
  <c r="P34" i="19"/>
  <c r="C33" i="31"/>
  <c r="D33" i="31" s="1"/>
  <c r="E33" i="31" s="1"/>
  <c r="Q33" i="31" s="1"/>
  <c r="E33" i="32" s="1"/>
  <c r="Q33" i="32" s="1"/>
  <c r="G33" i="31"/>
  <c r="H33" i="31" s="1"/>
  <c r="I33" i="31" s="1"/>
  <c r="D116" i="29"/>
  <c r="I116" i="29" s="1"/>
  <c r="I74" i="29"/>
  <c r="P30" i="32"/>
  <c r="B126" i="18"/>
  <c r="C82" i="18"/>
  <c r="D82" i="18"/>
  <c r="K79" i="19"/>
  <c r="K123" i="18"/>
  <c r="G77" i="29"/>
  <c r="F77" i="29"/>
  <c r="M35" i="19"/>
  <c r="C125" i="18"/>
  <c r="E81" i="18"/>
  <c r="K76" i="29"/>
  <c r="F118" i="29"/>
  <c r="K118" i="29" s="1"/>
  <c r="G118" i="29"/>
  <c r="L118" i="29" s="1"/>
  <c r="L76" i="29"/>
  <c r="B35" i="29"/>
  <c r="B34" i="27"/>
  <c r="E36" i="29"/>
  <c r="J36" i="29" s="1"/>
  <c r="E36" i="30"/>
  <c r="C38" i="19"/>
  <c r="H38" i="19"/>
  <c r="N31" i="32"/>
  <c r="F30" i="32"/>
  <c r="Q32" i="32"/>
  <c r="Q33" i="19"/>
  <c r="C32" i="27"/>
  <c r="D32" i="27" s="1"/>
  <c r="E32" i="27" s="1"/>
  <c r="B32" i="32" s="1"/>
  <c r="B75" i="29"/>
  <c r="B117" i="29" s="1"/>
  <c r="G80" i="18"/>
  <c r="G124" i="18" s="1"/>
  <c r="F80" i="18"/>
  <c r="I37" i="19"/>
  <c r="H80" i="18"/>
  <c r="E124" i="18"/>
  <c r="I32" i="30"/>
  <c r="D32" i="30"/>
  <c r="D39" i="18"/>
  <c r="I39" i="18" s="1"/>
  <c r="B40" i="18"/>
  <c r="C39" i="18"/>
  <c r="E39" i="18" s="1"/>
  <c r="B83" i="18"/>
  <c r="F123" i="18"/>
  <c r="O36" i="19"/>
  <c r="K36" i="19"/>
  <c r="J36" i="19"/>
  <c r="L23" i="32"/>
  <c r="J79" i="19"/>
  <c r="J123" i="18"/>
  <c r="O79" i="19"/>
  <c r="R79" i="19" s="1"/>
  <c r="J76" i="29"/>
  <c r="E118" i="29"/>
  <c r="J118" i="29" s="1"/>
  <c r="C81" i="19"/>
  <c r="F81" i="19" s="1"/>
  <c r="H81" i="19"/>
  <c r="B35" i="30"/>
  <c r="H35" i="30" s="1"/>
  <c r="F35" i="31"/>
  <c r="J35" i="31"/>
  <c r="G36" i="19"/>
  <c r="B35" i="31"/>
  <c r="M78" i="19"/>
  <c r="F37" i="19"/>
  <c r="D37" i="29"/>
  <c r="I37" i="29" s="1"/>
  <c r="E37" i="29"/>
  <c r="J37" i="29" s="1"/>
  <c r="G37" i="29"/>
  <c r="L37" i="29" s="1"/>
  <c r="C37" i="29"/>
  <c r="H37" i="29" s="1"/>
  <c r="F37" i="29"/>
  <c r="K37" i="29" s="1"/>
  <c r="J74" i="29"/>
  <c r="E116" i="29"/>
  <c r="J116" i="29" s="1"/>
  <c r="Q76" i="19"/>
  <c r="C75" i="29"/>
  <c r="E75" i="29"/>
  <c r="D75" i="29"/>
  <c r="I124" i="18"/>
  <c r="I80" i="19"/>
  <c r="K80" i="18"/>
  <c r="L80" i="18"/>
  <c r="J80" i="18"/>
  <c r="R36" i="19" l="1"/>
  <c r="F35" i="30"/>
  <c r="G35" i="30" s="1"/>
  <c r="P35" i="19"/>
  <c r="K34" i="31"/>
  <c r="L34" i="31" s="1"/>
  <c r="M34" i="31" s="1"/>
  <c r="C34" i="31"/>
  <c r="D34" i="31" s="1"/>
  <c r="E34" i="31" s="1"/>
  <c r="N35" i="19"/>
  <c r="G34" i="31"/>
  <c r="H34" i="31" s="1"/>
  <c r="I34" i="31" s="1"/>
  <c r="C33" i="27"/>
  <c r="D33" i="27" s="1"/>
  <c r="E33" i="27" s="1"/>
  <c r="B33" i="32" s="1"/>
  <c r="Q34" i="19"/>
  <c r="B76" i="29"/>
  <c r="B118" i="29" s="1"/>
  <c r="B36" i="29"/>
  <c r="B35" i="27"/>
  <c r="B83" i="19"/>
  <c r="L39" i="18"/>
  <c r="E83" i="19" s="1"/>
  <c r="K39" i="18"/>
  <c r="D83" i="19" s="1"/>
  <c r="J39" i="18"/>
  <c r="H124" i="18"/>
  <c r="L37" i="19"/>
  <c r="E37" i="30"/>
  <c r="F119" i="29"/>
  <c r="K119" i="29" s="1"/>
  <c r="K77" i="29"/>
  <c r="C126" i="18"/>
  <c r="E82" i="18"/>
  <c r="I125" i="18"/>
  <c r="L81" i="18"/>
  <c r="K81" i="18"/>
  <c r="I81" i="19"/>
  <c r="J81" i="18"/>
  <c r="K124" i="18"/>
  <c r="K80" i="19"/>
  <c r="C40" i="18"/>
  <c r="B84" i="18"/>
  <c r="D40" i="18"/>
  <c r="B41" i="18"/>
  <c r="H75" i="29"/>
  <c r="C117" i="29"/>
  <c r="H117" i="29" s="1"/>
  <c r="H32" i="32" s="1"/>
  <c r="K32" i="32" s="1"/>
  <c r="J124" i="18"/>
  <c r="J80" i="19"/>
  <c r="O80" i="19"/>
  <c r="R80" i="19" s="1"/>
  <c r="F36" i="31"/>
  <c r="J36" i="31"/>
  <c r="G37" i="19"/>
  <c r="B36" i="30"/>
  <c r="H36" i="30" s="1"/>
  <c r="B36" i="31"/>
  <c r="G81" i="19"/>
  <c r="N37" i="31"/>
  <c r="M36" i="19"/>
  <c r="F78" i="29"/>
  <c r="G78" i="29"/>
  <c r="B127" i="18"/>
  <c r="D83" i="18"/>
  <c r="C83" i="18"/>
  <c r="J32" i="30"/>
  <c r="C32" i="32"/>
  <c r="O32" i="32" s="1"/>
  <c r="N32" i="32"/>
  <c r="F32" i="32"/>
  <c r="G30" i="32"/>
  <c r="J30" i="32"/>
  <c r="S30" i="32"/>
  <c r="F38" i="29"/>
  <c r="K38" i="29" s="1"/>
  <c r="G38" i="29"/>
  <c r="L38" i="29" s="1"/>
  <c r="C38" i="29"/>
  <c r="H38" i="29" s="1"/>
  <c r="D38" i="29"/>
  <c r="I38" i="29" s="1"/>
  <c r="E38" i="29"/>
  <c r="J38" i="29" s="1"/>
  <c r="F38" i="19"/>
  <c r="L77" i="29"/>
  <c r="G119" i="29"/>
  <c r="L119" i="29" s="1"/>
  <c r="D31" i="32"/>
  <c r="P31" i="32" s="1"/>
  <c r="J75" i="29"/>
  <c r="E117" i="29"/>
  <c r="J117" i="29" s="1"/>
  <c r="I82" i="18"/>
  <c r="D126" i="18"/>
  <c r="H76" i="29"/>
  <c r="C118" i="29"/>
  <c r="H118" i="29" s="1"/>
  <c r="H33" i="32" s="1"/>
  <c r="K33" i="32" s="1"/>
  <c r="L124" i="18"/>
  <c r="L80" i="19"/>
  <c r="I75" i="29"/>
  <c r="D117" i="29"/>
  <c r="I117" i="29" s="1"/>
  <c r="D32" i="32" s="1"/>
  <c r="P32" i="32" s="1"/>
  <c r="P78" i="19"/>
  <c r="N78" i="19"/>
  <c r="C34" i="30" s="1"/>
  <c r="O34" i="31"/>
  <c r="P34" i="31" s="1"/>
  <c r="M79" i="19"/>
  <c r="H39" i="18"/>
  <c r="E40" i="19" s="1"/>
  <c r="B40" i="19"/>
  <c r="F39" i="18"/>
  <c r="G39" i="18"/>
  <c r="D40" i="19" s="1"/>
  <c r="K37" i="19"/>
  <c r="J37" i="19"/>
  <c r="O37" i="19"/>
  <c r="F124" i="18"/>
  <c r="F81" i="18"/>
  <c r="E125" i="18"/>
  <c r="G81" i="18"/>
  <c r="G125" i="18" s="1"/>
  <c r="H81" i="18"/>
  <c r="I38" i="19"/>
  <c r="I33" i="30"/>
  <c r="D33" i="30"/>
  <c r="H39" i="19"/>
  <c r="C39" i="19"/>
  <c r="J31" i="30"/>
  <c r="C31" i="32"/>
  <c r="I76" i="29"/>
  <c r="D118" i="29"/>
  <c r="I118" i="29" s="1"/>
  <c r="D33" i="32" s="1"/>
  <c r="P33" i="32" s="1"/>
  <c r="H82" i="19"/>
  <c r="C82" i="19"/>
  <c r="F82" i="19" s="1"/>
  <c r="I34" i="30" l="1"/>
  <c r="D34" i="30"/>
  <c r="F39" i="19"/>
  <c r="F39" i="29"/>
  <c r="K39" i="29" s="1"/>
  <c r="G39" i="29"/>
  <c r="L39" i="29" s="1"/>
  <c r="C39" i="29"/>
  <c r="H39" i="29" s="1"/>
  <c r="S32" i="32"/>
  <c r="J32" i="32"/>
  <c r="L32" i="32" s="1"/>
  <c r="G32" i="32"/>
  <c r="I32" i="32" s="1"/>
  <c r="E38" i="30"/>
  <c r="H125" i="18"/>
  <c r="L38" i="19"/>
  <c r="N79" i="19"/>
  <c r="O35" i="31"/>
  <c r="P35" i="31" s="1"/>
  <c r="P79" i="19"/>
  <c r="D127" i="18"/>
  <c r="I83" i="18"/>
  <c r="L78" i="29"/>
  <c r="G120" i="29"/>
  <c r="L120" i="29" s="1"/>
  <c r="B37" i="29"/>
  <c r="B36" i="27"/>
  <c r="M80" i="19"/>
  <c r="K81" i="19"/>
  <c r="K125" i="18"/>
  <c r="E83" i="18"/>
  <c r="C127" i="18"/>
  <c r="I39" i="19"/>
  <c r="H82" i="18"/>
  <c r="F82" i="18"/>
  <c r="G82" i="18"/>
  <c r="G126" i="18" s="1"/>
  <c r="E126" i="18"/>
  <c r="G82" i="19"/>
  <c r="E39" i="29" s="1"/>
  <c r="J39" i="29" s="1"/>
  <c r="N38" i="31"/>
  <c r="O31" i="32"/>
  <c r="F31" i="32"/>
  <c r="C33" i="32"/>
  <c r="O33" i="32" s="1"/>
  <c r="J33" i="30"/>
  <c r="F36" i="30"/>
  <c r="G36" i="30" s="1"/>
  <c r="R37" i="19"/>
  <c r="C40" i="19"/>
  <c r="H40" i="19"/>
  <c r="B37" i="30"/>
  <c r="H37" i="30" s="1"/>
  <c r="J37" i="31"/>
  <c r="B37" i="31"/>
  <c r="G38" i="19"/>
  <c r="F37" i="31"/>
  <c r="L30" i="32"/>
  <c r="I40" i="18"/>
  <c r="D41" i="18"/>
  <c r="L81" i="19"/>
  <c r="L125" i="18"/>
  <c r="B77" i="29"/>
  <c r="B119" i="29" s="1"/>
  <c r="Q35" i="19"/>
  <c r="C34" i="27"/>
  <c r="D34" i="27" s="1"/>
  <c r="E34" i="27" s="1"/>
  <c r="B34" i="32" s="1"/>
  <c r="O38" i="19"/>
  <c r="K38" i="19"/>
  <c r="F125" i="18"/>
  <c r="J38" i="19"/>
  <c r="I126" i="18"/>
  <c r="I82" i="19"/>
  <c r="L82" i="18"/>
  <c r="K82" i="18"/>
  <c r="J82" i="18"/>
  <c r="P36" i="19"/>
  <c r="K35" i="31"/>
  <c r="L35" i="31" s="1"/>
  <c r="M35" i="31" s="1"/>
  <c r="G35" i="31"/>
  <c r="H35" i="31" s="1"/>
  <c r="I35" i="31" s="1"/>
  <c r="C35" i="30"/>
  <c r="N36" i="19"/>
  <c r="C35" i="31"/>
  <c r="D35" i="31" s="1"/>
  <c r="E35" i="31" s="1"/>
  <c r="E40" i="18"/>
  <c r="C41" i="18"/>
  <c r="G79" i="29"/>
  <c r="M37" i="19"/>
  <c r="F79" i="29"/>
  <c r="Q78" i="19"/>
  <c r="C77" i="29"/>
  <c r="E77" i="29"/>
  <c r="D77" i="29"/>
  <c r="I30" i="32"/>
  <c r="K78" i="29"/>
  <c r="F120" i="29"/>
  <c r="K120" i="29" s="1"/>
  <c r="C84" i="18"/>
  <c r="D84" i="18"/>
  <c r="B128" i="18"/>
  <c r="B129" i="18" s="1"/>
  <c r="B85" i="18"/>
  <c r="J125" i="18"/>
  <c r="J81" i="19"/>
  <c r="O81" i="19"/>
  <c r="R81" i="19" s="1"/>
  <c r="H83" i="19"/>
  <c r="C83" i="19"/>
  <c r="F83" i="19" s="1"/>
  <c r="N33" i="32"/>
  <c r="F33" i="32"/>
  <c r="Q34" i="31"/>
  <c r="E34" i="32" s="1"/>
  <c r="Q34" i="32" s="1"/>
  <c r="N39" i="31" l="1"/>
  <c r="G83" i="19"/>
  <c r="E40" i="29" s="1"/>
  <c r="J40" i="29" s="1"/>
  <c r="N34" i="32"/>
  <c r="B38" i="30"/>
  <c r="H38" i="30" s="1"/>
  <c r="G39" i="19"/>
  <c r="F38" i="31"/>
  <c r="J38" i="31"/>
  <c r="B38" i="31"/>
  <c r="I77" i="29"/>
  <c r="D119" i="29"/>
  <c r="I119" i="29" s="1"/>
  <c r="Q35" i="31"/>
  <c r="E35" i="32" s="1"/>
  <c r="Q35" i="32" s="1"/>
  <c r="L126" i="18"/>
  <c r="L82" i="19"/>
  <c r="O36" i="31"/>
  <c r="P36" i="31" s="1"/>
  <c r="P80" i="19"/>
  <c r="N80" i="19"/>
  <c r="Q79" i="19"/>
  <c r="E78" i="29"/>
  <c r="D78" i="29"/>
  <c r="C78" i="29"/>
  <c r="D39" i="29"/>
  <c r="I39" i="29" s="1"/>
  <c r="C128" i="18"/>
  <c r="C129" i="18" s="1"/>
  <c r="E84" i="18"/>
  <c r="C85" i="18"/>
  <c r="C36" i="30"/>
  <c r="K36" i="31"/>
  <c r="L36" i="31" s="1"/>
  <c r="M36" i="31" s="1"/>
  <c r="C36" i="31"/>
  <c r="D36" i="31" s="1"/>
  <c r="E36" i="31" s="1"/>
  <c r="G36" i="31"/>
  <c r="H36" i="31" s="1"/>
  <c r="I36" i="31" s="1"/>
  <c r="P37" i="19"/>
  <c r="N37" i="19"/>
  <c r="B41" i="19"/>
  <c r="B42" i="19" s="1"/>
  <c r="G40" i="18"/>
  <c r="F40" i="18"/>
  <c r="H40" i="18"/>
  <c r="E41" i="18"/>
  <c r="K82" i="19"/>
  <c r="K126" i="18"/>
  <c r="G33" i="32"/>
  <c r="I33" i="32" s="1"/>
  <c r="S33" i="32"/>
  <c r="J33" i="32"/>
  <c r="L33" i="32" s="1"/>
  <c r="J77" i="29"/>
  <c r="E119" i="29"/>
  <c r="J119" i="29" s="1"/>
  <c r="K79" i="29"/>
  <c r="F121" i="29"/>
  <c r="K121" i="29" s="1"/>
  <c r="G121" i="29"/>
  <c r="L121" i="29" s="1"/>
  <c r="L79" i="29"/>
  <c r="C35" i="27"/>
  <c r="D35" i="27" s="1"/>
  <c r="E35" i="27" s="1"/>
  <c r="B35" i="32" s="1"/>
  <c r="Q36" i="19"/>
  <c r="B78" i="29"/>
  <c r="B120" i="29" s="1"/>
  <c r="J40" i="18"/>
  <c r="L40" i="18"/>
  <c r="B84" i="19"/>
  <c r="B85" i="19" s="1"/>
  <c r="K40" i="18"/>
  <c r="I41" i="18"/>
  <c r="B37" i="27"/>
  <c r="B38" i="29"/>
  <c r="E39" i="30"/>
  <c r="F126" i="18"/>
  <c r="J39" i="19"/>
  <c r="K39" i="19"/>
  <c r="O39" i="19"/>
  <c r="F83" i="18"/>
  <c r="E127" i="18"/>
  <c r="G83" i="18"/>
  <c r="G127" i="18" s="1"/>
  <c r="H83" i="18"/>
  <c r="I40" i="19"/>
  <c r="I83" i="19"/>
  <c r="J83" i="18"/>
  <c r="I127" i="18"/>
  <c r="L83" i="18"/>
  <c r="K83" i="18"/>
  <c r="J34" i="30"/>
  <c r="C34" i="32"/>
  <c r="O34" i="32" s="1"/>
  <c r="G80" i="29"/>
  <c r="F80" i="29"/>
  <c r="M38" i="19"/>
  <c r="J31" i="32"/>
  <c r="L31" i="32" s="1"/>
  <c r="S31" i="32"/>
  <c r="G31" i="32"/>
  <c r="I31" i="32" s="1"/>
  <c r="M81" i="19"/>
  <c r="D128" i="18"/>
  <c r="D129" i="18" s="1"/>
  <c r="I84" i="18"/>
  <c r="D85" i="18"/>
  <c r="C119" i="29"/>
  <c r="H119" i="29" s="1"/>
  <c r="H34" i="32" s="1"/>
  <c r="K34" i="32" s="1"/>
  <c r="H77" i="29"/>
  <c r="I35" i="30"/>
  <c r="D35" i="30"/>
  <c r="J82" i="19"/>
  <c r="J126" i="18"/>
  <c r="O82" i="19"/>
  <c r="R82" i="19" s="1"/>
  <c r="R38" i="19"/>
  <c r="F37" i="30"/>
  <c r="G37" i="30" s="1"/>
  <c r="G40" i="29"/>
  <c r="L40" i="29" s="1"/>
  <c r="F40" i="19"/>
  <c r="F40" i="29"/>
  <c r="K40" i="29" s="1"/>
  <c r="C40" i="29"/>
  <c r="H40" i="29" s="1"/>
  <c r="H126" i="18"/>
  <c r="L39" i="19"/>
  <c r="K84" i="18" l="1"/>
  <c r="I128" i="18"/>
  <c r="I129" i="18" s="1"/>
  <c r="I84" i="19"/>
  <c r="I85" i="19" s="1"/>
  <c r="L84" i="18"/>
  <c r="J84" i="18"/>
  <c r="I85" i="18"/>
  <c r="R39" i="19"/>
  <c r="F38" i="30"/>
  <c r="G38" i="30" s="1"/>
  <c r="D84" i="19"/>
  <c r="D85" i="19" s="1"/>
  <c r="K41" i="18"/>
  <c r="H41" i="19"/>
  <c r="C41" i="19"/>
  <c r="F41" i="18"/>
  <c r="I36" i="30"/>
  <c r="D36" i="30"/>
  <c r="B39" i="29"/>
  <c r="B38" i="27"/>
  <c r="D40" i="29"/>
  <c r="I40" i="29" s="1"/>
  <c r="F122" i="29"/>
  <c r="K122" i="29" s="1"/>
  <c r="K80" i="29"/>
  <c r="J83" i="19"/>
  <c r="O83" i="19"/>
  <c r="R83" i="19" s="1"/>
  <c r="J127" i="18"/>
  <c r="D41" i="19"/>
  <c r="D42" i="19" s="1"/>
  <c r="G41" i="18"/>
  <c r="C120" i="29"/>
  <c r="H120" i="29" s="1"/>
  <c r="H35" i="32" s="1"/>
  <c r="K35" i="32" s="1"/>
  <c r="H78" i="29"/>
  <c r="Q80" i="19"/>
  <c r="D79" i="29"/>
  <c r="C79" i="29"/>
  <c r="E79" i="29"/>
  <c r="M82" i="19"/>
  <c r="P81" i="19"/>
  <c r="N81" i="19"/>
  <c r="C37" i="30" s="1"/>
  <c r="O37" i="31"/>
  <c r="P37" i="31" s="1"/>
  <c r="K83" i="19"/>
  <c r="K127" i="18"/>
  <c r="F81" i="29"/>
  <c r="G81" i="29"/>
  <c r="M39" i="19"/>
  <c r="E84" i="19"/>
  <c r="E85" i="19" s="1"/>
  <c r="L41" i="18"/>
  <c r="N35" i="32"/>
  <c r="Q36" i="31"/>
  <c r="E36" i="32" s="1"/>
  <c r="Q36" i="32" s="1"/>
  <c r="H84" i="18"/>
  <c r="I41" i="19"/>
  <c r="I42" i="19" s="1"/>
  <c r="F84" i="18"/>
  <c r="G84" i="18"/>
  <c r="E128" i="18"/>
  <c r="E129" i="18" s="1"/>
  <c r="E85" i="18"/>
  <c r="I78" i="29"/>
  <c r="D120" i="29"/>
  <c r="I120" i="29" s="1"/>
  <c r="J39" i="31"/>
  <c r="G40" i="19"/>
  <c r="F39" i="31"/>
  <c r="B39" i="30"/>
  <c r="H39" i="30" s="1"/>
  <c r="B39" i="31"/>
  <c r="J35" i="30"/>
  <c r="C35" i="32"/>
  <c r="O35" i="32" s="1"/>
  <c r="N38" i="19"/>
  <c r="P38" i="19"/>
  <c r="K37" i="31"/>
  <c r="L37" i="31" s="1"/>
  <c r="M37" i="31" s="1"/>
  <c r="C37" i="31"/>
  <c r="D37" i="31" s="1"/>
  <c r="E37" i="31" s="1"/>
  <c r="G37" i="31"/>
  <c r="H37" i="31" s="1"/>
  <c r="I37" i="31" s="1"/>
  <c r="L80" i="29"/>
  <c r="G122" i="29"/>
  <c r="L122" i="29" s="1"/>
  <c r="L127" i="18"/>
  <c r="L83" i="19"/>
  <c r="J40" i="19"/>
  <c r="K40" i="19"/>
  <c r="F127" i="18"/>
  <c r="O40" i="19"/>
  <c r="C84" i="19"/>
  <c r="H84" i="19"/>
  <c r="H85" i="19" s="1"/>
  <c r="J41" i="18"/>
  <c r="E41" i="19"/>
  <c r="E42" i="19" s="1"/>
  <c r="H41" i="18"/>
  <c r="C36" i="27"/>
  <c r="D36" i="27" s="1"/>
  <c r="E36" i="27" s="1"/>
  <c r="B36" i="32" s="1"/>
  <c r="Q37" i="19"/>
  <c r="B79" i="29"/>
  <c r="B121" i="29" s="1"/>
  <c r="E120" i="29"/>
  <c r="J120" i="29" s="1"/>
  <c r="J78" i="29"/>
  <c r="D34" i="32"/>
  <c r="P34" i="32" s="1"/>
  <c r="F34" i="32"/>
  <c r="L40" i="19"/>
  <c r="H127" i="18"/>
  <c r="D37" i="30" l="1"/>
  <c r="I37" i="30"/>
  <c r="Q37" i="31"/>
  <c r="E37" i="32" s="1"/>
  <c r="Q37" i="32" s="1"/>
  <c r="Q38" i="19"/>
  <c r="C37" i="27"/>
  <c r="D37" i="27" s="1"/>
  <c r="E37" i="27" s="1"/>
  <c r="B37" i="32" s="1"/>
  <c r="B80" i="29"/>
  <c r="B122" i="29" s="1"/>
  <c r="D35" i="32"/>
  <c r="P35" i="32" s="1"/>
  <c r="G128" i="18"/>
  <c r="G129" i="18" s="1"/>
  <c r="G85" i="18"/>
  <c r="G123" i="29"/>
  <c r="L123" i="29" s="1"/>
  <c r="L81" i="29"/>
  <c r="O38" i="31"/>
  <c r="P38" i="31" s="1"/>
  <c r="P82" i="19"/>
  <c r="N82" i="19"/>
  <c r="F41" i="19"/>
  <c r="G41" i="29"/>
  <c r="F41" i="29"/>
  <c r="C42" i="19"/>
  <c r="L84" i="19"/>
  <c r="L85" i="19" s="1"/>
  <c r="L128" i="18"/>
  <c r="L129" i="18" s="1"/>
  <c r="L85" i="18"/>
  <c r="N36" i="32"/>
  <c r="F36" i="32"/>
  <c r="K41" i="19"/>
  <c r="K42" i="19" s="1"/>
  <c r="J41" i="19"/>
  <c r="O41" i="19"/>
  <c r="F128" i="18"/>
  <c r="F129" i="18" s="1"/>
  <c r="F85" i="18"/>
  <c r="K81" i="29"/>
  <c r="F123" i="29"/>
  <c r="K123" i="29" s="1"/>
  <c r="E121" i="29"/>
  <c r="J121" i="29" s="1"/>
  <c r="J79" i="29"/>
  <c r="C36" i="32"/>
  <c r="O36" i="32" s="1"/>
  <c r="J36" i="30"/>
  <c r="E40" i="30"/>
  <c r="E41" i="30" s="1"/>
  <c r="E44" i="30" s="1"/>
  <c r="H42" i="19"/>
  <c r="F84" i="19"/>
  <c r="C85" i="19"/>
  <c r="F82" i="29"/>
  <c r="G82" i="29"/>
  <c r="M40" i="19"/>
  <c r="B39" i="27"/>
  <c r="B40" i="29"/>
  <c r="Q81" i="19"/>
  <c r="D80" i="29"/>
  <c r="C80" i="29"/>
  <c r="E80" i="29"/>
  <c r="H79" i="29"/>
  <c r="C121" i="29"/>
  <c r="H121" i="29" s="1"/>
  <c r="H36" i="32" s="1"/>
  <c r="K36" i="32" s="1"/>
  <c r="J34" i="32"/>
  <c r="L34" i="32" s="1"/>
  <c r="S34" i="32"/>
  <c r="G34" i="32"/>
  <c r="I34" i="32" s="1"/>
  <c r="R40" i="19"/>
  <c r="F39" i="30"/>
  <c r="G39" i="30" s="1"/>
  <c r="H128" i="18"/>
  <c r="H129" i="18" s="1"/>
  <c r="L41" i="19"/>
  <c r="L42" i="19" s="1"/>
  <c r="H85" i="18"/>
  <c r="C38" i="30"/>
  <c r="K38" i="31"/>
  <c r="L38" i="31" s="1"/>
  <c r="M38" i="31" s="1"/>
  <c r="P39" i="19"/>
  <c r="G38" i="31"/>
  <c r="H38" i="31" s="1"/>
  <c r="I38" i="31" s="1"/>
  <c r="N39" i="19"/>
  <c r="C38" i="31"/>
  <c r="D38" i="31" s="1"/>
  <c r="E38" i="31" s="1"/>
  <c r="Q38" i="31" s="1"/>
  <c r="E38" i="32" s="1"/>
  <c r="Q38" i="32" s="1"/>
  <c r="I79" i="29"/>
  <c r="D121" i="29"/>
  <c r="I121" i="29" s="1"/>
  <c r="D36" i="32" s="1"/>
  <c r="P36" i="32" s="1"/>
  <c r="M83" i="19"/>
  <c r="J128" i="18"/>
  <c r="J129" i="18" s="1"/>
  <c r="J84" i="19"/>
  <c r="O84" i="19"/>
  <c r="J85" i="18"/>
  <c r="K128" i="18"/>
  <c r="K129" i="18" s="1"/>
  <c r="K84" i="19"/>
  <c r="K85" i="19" s="1"/>
  <c r="K85" i="18"/>
  <c r="F35" i="32" l="1"/>
  <c r="C38" i="27"/>
  <c r="D38" i="27" s="1"/>
  <c r="E38" i="27" s="1"/>
  <c r="B38" i="32" s="1"/>
  <c r="B81" i="29"/>
  <c r="B123" i="29" s="1"/>
  <c r="Q39" i="19"/>
  <c r="I38" i="30"/>
  <c r="D38" i="30"/>
  <c r="H80" i="29"/>
  <c r="C122" i="29"/>
  <c r="H122" i="29" s="1"/>
  <c r="H37" i="32" s="1"/>
  <c r="K37" i="32" s="1"/>
  <c r="F40" i="30"/>
  <c r="R41" i="19"/>
  <c r="R42" i="19" s="1"/>
  <c r="O42" i="19"/>
  <c r="L41" i="29"/>
  <c r="L42" i="29" s="1"/>
  <c r="G42" i="29"/>
  <c r="R84" i="19"/>
  <c r="R85" i="19" s="1"/>
  <c r="O85" i="19"/>
  <c r="I80" i="29"/>
  <c r="D122" i="29"/>
  <c r="I122" i="29" s="1"/>
  <c r="S35" i="32"/>
  <c r="G35" i="32"/>
  <c r="I35" i="32" s="1"/>
  <c r="J35" i="32"/>
  <c r="L35" i="32" s="1"/>
  <c r="M41" i="19"/>
  <c r="G83" i="29"/>
  <c r="F83" i="29"/>
  <c r="J42" i="19"/>
  <c r="M84" i="19"/>
  <c r="J85" i="19"/>
  <c r="F124" i="29"/>
  <c r="K124" i="29" s="1"/>
  <c r="K82" i="29"/>
  <c r="K41" i="29"/>
  <c r="K42" i="29" s="1"/>
  <c r="F42" i="29"/>
  <c r="G41" i="19"/>
  <c r="F40" i="31"/>
  <c r="F41" i="31" s="1"/>
  <c r="J40" i="31"/>
  <c r="J41" i="31" s="1"/>
  <c r="B40" i="31"/>
  <c r="B41" i="31" s="1"/>
  <c r="F42" i="19"/>
  <c r="J80" i="29"/>
  <c r="E122" i="29"/>
  <c r="J122" i="29" s="1"/>
  <c r="N40" i="19"/>
  <c r="P40" i="19"/>
  <c r="C39" i="31"/>
  <c r="D39" i="31" s="1"/>
  <c r="E39" i="31" s="1"/>
  <c r="Q39" i="31" s="1"/>
  <c r="E39" i="32" s="1"/>
  <c r="Q39" i="32" s="1"/>
  <c r="G39" i="31"/>
  <c r="H39" i="31" s="1"/>
  <c r="I39" i="31" s="1"/>
  <c r="K39" i="31"/>
  <c r="L39" i="31" s="1"/>
  <c r="M39" i="31" s="1"/>
  <c r="G36" i="32"/>
  <c r="I36" i="32" s="1"/>
  <c r="J36" i="32"/>
  <c r="L36" i="32" s="1"/>
  <c r="S36" i="32"/>
  <c r="Q82" i="19"/>
  <c r="D81" i="29"/>
  <c r="C81" i="29"/>
  <c r="E81" i="29"/>
  <c r="P83" i="19"/>
  <c r="O39" i="31"/>
  <c r="P39" i="31" s="1"/>
  <c r="N83" i="19"/>
  <c r="L82" i="29"/>
  <c r="G124" i="29"/>
  <c r="L124" i="29" s="1"/>
  <c r="G84" i="19"/>
  <c r="N40" i="31"/>
  <c r="N41" i="31" s="1"/>
  <c r="F85" i="19"/>
  <c r="N37" i="32"/>
  <c r="J37" i="30"/>
  <c r="C37" i="32"/>
  <c r="O37" i="32" s="1"/>
  <c r="Q83" i="19" l="1"/>
  <c r="E82" i="29"/>
  <c r="D82" i="29"/>
  <c r="C82" i="29"/>
  <c r="N41" i="19"/>
  <c r="P41" i="19"/>
  <c r="P42" i="19" s="1"/>
  <c r="K40" i="31"/>
  <c r="G40" i="31"/>
  <c r="C40" i="31"/>
  <c r="M42" i="19"/>
  <c r="G40" i="30"/>
  <c r="G41" i="30" s="1"/>
  <c r="G44" i="30" s="1"/>
  <c r="F41" i="30"/>
  <c r="F44" i="30" s="1"/>
  <c r="G85" i="19"/>
  <c r="D41" i="29"/>
  <c r="E41" i="29"/>
  <c r="C41" i="29"/>
  <c r="B40" i="30"/>
  <c r="H81" i="29"/>
  <c r="C123" i="29"/>
  <c r="H123" i="29" s="1"/>
  <c r="H38" i="32" s="1"/>
  <c r="K38" i="32" s="1"/>
  <c r="C39" i="30"/>
  <c r="D37" i="32"/>
  <c r="I81" i="29"/>
  <c r="D123" i="29"/>
  <c r="I123" i="29" s="1"/>
  <c r="D38" i="32" s="1"/>
  <c r="P38" i="32" s="1"/>
  <c r="P84" i="19"/>
  <c r="P85" i="19" s="1"/>
  <c r="O40" i="31"/>
  <c r="N84" i="19"/>
  <c r="M85" i="19"/>
  <c r="E123" i="29"/>
  <c r="J123" i="29" s="1"/>
  <c r="J81" i="29"/>
  <c r="Q40" i="19"/>
  <c r="C39" i="27"/>
  <c r="D39" i="27" s="1"/>
  <c r="E39" i="27" s="1"/>
  <c r="B39" i="32" s="1"/>
  <c r="B82" i="29"/>
  <c r="B124" i="29" s="1"/>
  <c r="B41" i="29"/>
  <c r="B42" i="29" s="1"/>
  <c r="B40" i="27"/>
  <c r="B41" i="27" s="1"/>
  <c r="G42" i="19"/>
  <c r="K83" i="29"/>
  <c r="K84" i="29" s="1"/>
  <c r="F125" i="29"/>
  <c r="F84" i="29"/>
  <c r="L83" i="29"/>
  <c r="L84" i="29" s="1"/>
  <c r="G125" i="29"/>
  <c r="G84" i="29"/>
  <c r="C38" i="32"/>
  <c r="O38" i="32" s="1"/>
  <c r="J38" i="30"/>
  <c r="N38" i="32"/>
  <c r="N39" i="32" l="1"/>
  <c r="Q84" i="19"/>
  <c r="Q85" i="19" s="1"/>
  <c r="N85" i="19"/>
  <c r="D83" i="29"/>
  <c r="C83" i="29"/>
  <c r="E83" i="29"/>
  <c r="I41" i="29"/>
  <c r="I42" i="29" s="1"/>
  <c r="D42" i="29"/>
  <c r="L40" i="31"/>
  <c r="K41" i="31"/>
  <c r="D124" i="29"/>
  <c r="I124" i="29" s="1"/>
  <c r="D39" i="32" s="1"/>
  <c r="P39" i="32" s="1"/>
  <c r="I82" i="29"/>
  <c r="C124" i="29"/>
  <c r="H124" i="29" s="1"/>
  <c r="H39" i="32" s="1"/>
  <c r="K39" i="32" s="1"/>
  <c r="H82" i="29"/>
  <c r="K125" i="29"/>
  <c r="K126" i="29" s="1"/>
  <c r="F126" i="29"/>
  <c r="P40" i="31"/>
  <c r="P41" i="31" s="1"/>
  <c r="O41" i="31"/>
  <c r="P37" i="32"/>
  <c r="F37" i="32"/>
  <c r="H40" i="30"/>
  <c r="B41" i="30"/>
  <c r="C40" i="30"/>
  <c r="J82" i="29"/>
  <c r="E124" i="29"/>
  <c r="J124" i="29" s="1"/>
  <c r="J41" i="29"/>
  <c r="J42" i="29" s="1"/>
  <c r="E42" i="29"/>
  <c r="H40" i="31"/>
  <c r="G41" i="31"/>
  <c r="F38" i="32"/>
  <c r="L125" i="29"/>
  <c r="L126" i="29" s="1"/>
  <c r="G126" i="29"/>
  <c r="I39" i="30"/>
  <c r="D39" i="30"/>
  <c r="H41" i="29"/>
  <c r="H42" i="29" s="1"/>
  <c r="C42" i="29"/>
  <c r="D40" i="31"/>
  <c r="C41" i="31"/>
  <c r="B83" i="29"/>
  <c r="C40" i="27"/>
  <c r="Q41" i="19"/>
  <c r="Q42" i="19" s="1"/>
  <c r="N42" i="19"/>
  <c r="B125" i="29" l="1"/>
  <c r="B126" i="29" s="1"/>
  <c r="B84" i="29"/>
  <c r="I40" i="30"/>
  <c r="D40" i="30"/>
  <c r="C41" i="30"/>
  <c r="C39" i="32"/>
  <c r="J39" i="30"/>
  <c r="J38" i="32"/>
  <c r="L38" i="32" s="1"/>
  <c r="S38" i="32"/>
  <c r="I38" i="32"/>
  <c r="H41" i="30"/>
  <c r="H44" i="30" s="1"/>
  <c r="B44" i="30"/>
  <c r="E125" i="29"/>
  <c r="J83" i="29"/>
  <c r="J84" i="29" s="1"/>
  <c r="E84" i="29"/>
  <c r="E40" i="31"/>
  <c r="D41" i="31"/>
  <c r="M40" i="31"/>
  <c r="M41" i="31" s="1"/>
  <c r="L41" i="31"/>
  <c r="C125" i="29"/>
  <c r="H83" i="29"/>
  <c r="H84" i="29" s="1"/>
  <c r="C84" i="29"/>
  <c r="D40" i="27"/>
  <c r="C41" i="27"/>
  <c r="I40" i="31"/>
  <c r="I41" i="31" s="1"/>
  <c r="H41" i="31"/>
  <c r="S37" i="32"/>
  <c r="L37" i="32"/>
  <c r="G37" i="32"/>
  <c r="I37" i="32" s="1"/>
  <c r="D125" i="29"/>
  <c r="I83" i="29"/>
  <c r="I84" i="29" s="1"/>
  <c r="D84" i="29"/>
  <c r="E40" i="27" l="1"/>
  <c r="D41" i="27"/>
  <c r="I125" i="29"/>
  <c r="D126" i="29"/>
  <c r="O39" i="32"/>
  <c r="F39" i="32"/>
  <c r="H125" i="29"/>
  <c r="C126" i="29"/>
  <c r="Q40" i="31"/>
  <c r="E41" i="31"/>
  <c r="C40" i="32"/>
  <c r="J40" i="30"/>
  <c r="D41" i="30"/>
  <c r="J125" i="29"/>
  <c r="J126" i="29" s="1"/>
  <c r="E126" i="29"/>
  <c r="C44" i="30"/>
  <c r="I41" i="30"/>
  <c r="I44" i="30" s="1"/>
  <c r="O40" i="32" l="1"/>
  <c r="O41" i="32" s="1"/>
  <c r="C15" i="34" s="1"/>
  <c r="C41" i="32"/>
  <c r="D15" i="34" s="1"/>
  <c r="D40" i="32"/>
  <c r="I126" i="29"/>
  <c r="H40" i="32"/>
  <c r="K40" i="32" s="1"/>
  <c r="K41" i="32" s="1"/>
  <c r="H126" i="29"/>
  <c r="S39" i="32"/>
  <c r="G39" i="32"/>
  <c r="I39" i="32" s="1"/>
  <c r="J39" i="32"/>
  <c r="L39" i="32" s="1"/>
  <c r="D44" i="30"/>
  <c r="J41" i="30"/>
  <c r="J44" i="30" s="1"/>
  <c r="E40" i="32"/>
  <c r="Q41" i="31"/>
  <c r="B40" i="32"/>
  <c r="E41" i="27"/>
  <c r="F41" i="27" s="1"/>
  <c r="P40" i="32" l="1"/>
  <c r="P41" i="32" s="1"/>
  <c r="C16" i="34" s="1"/>
  <c r="D41" i="32"/>
  <c r="D16" i="34" s="1"/>
  <c r="F40" i="32"/>
  <c r="N40" i="32"/>
  <c r="N41" i="32" s="1"/>
  <c r="C14" i="34" s="1"/>
  <c r="B41" i="32"/>
  <c r="D14" i="34" s="1"/>
  <c r="Q40" i="32"/>
  <c r="Q41" i="32" s="1"/>
  <c r="C17" i="34" s="1"/>
  <c r="E41" i="32"/>
  <c r="D17" i="34" s="1"/>
  <c r="H41" i="32"/>
  <c r="S40" i="32" l="1"/>
  <c r="J40" i="32"/>
  <c r="G40" i="32"/>
  <c r="F41" i="32"/>
  <c r="D18" i="34"/>
  <c r="L40" i="32" l="1"/>
  <c r="L41" i="32" s="1"/>
  <c r="J41" i="32"/>
  <c r="C18" i="34" s="1"/>
  <c r="I40" i="32"/>
  <c r="I41" i="32" s="1"/>
  <c r="G41" i="32"/>
  <c r="K3" i="34" s="1"/>
  <c r="S41" i="32"/>
  <c r="C25" i="34"/>
  <c r="S42" i="32"/>
  <c r="I8" i="34" l="1"/>
  <c r="K8" i="34"/>
  <c r="C23" i="34"/>
  <c r="C24" i="34"/>
  <c r="I6" i="34" s="1"/>
  <c r="I3" i="34"/>
</calcChain>
</file>

<file path=xl/sharedStrings.xml><?xml version="1.0" encoding="utf-8"?>
<sst xmlns="http://schemas.openxmlformats.org/spreadsheetml/2006/main" count="745" uniqueCount="443">
  <si>
    <t>Safety</t>
  </si>
  <si>
    <t>Discounted Benefits of Carbon Emissions Only at 3%</t>
  </si>
  <si>
    <t>Total</t>
  </si>
  <si>
    <t>Year</t>
  </si>
  <si>
    <t>Truck</t>
  </si>
  <si>
    <t>Value</t>
  </si>
  <si>
    <t>Unit</t>
  </si>
  <si>
    <t>per fatality</t>
  </si>
  <si>
    <t>$Year</t>
  </si>
  <si>
    <t>Value of Injuries</t>
  </si>
  <si>
    <t>AIS 1</t>
  </si>
  <si>
    <t>AIS 2</t>
  </si>
  <si>
    <t>AIS Level</t>
  </si>
  <si>
    <t>Severity</t>
  </si>
  <si>
    <t>Fraction of VSL</t>
  </si>
  <si>
    <t>AIS 3</t>
  </si>
  <si>
    <t>AIS 4</t>
  </si>
  <si>
    <t>AIS 5</t>
  </si>
  <si>
    <t>AIS 6</t>
  </si>
  <si>
    <t>Minor</t>
  </si>
  <si>
    <t>Moderate</t>
  </si>
  <si>
    <t>Serious</t>
  </si>
  <si>
    <t>Severe</t>
  </si>
  <si>
    <t>Critical</t>
  </si>
  <si>
    <t>Not survivable</t>
  </si>
  <si>
    <t>Value of Statistical Life (VSL)</t>
  </si>
  <si>
    <t>Property Damage Only (PDO) Crashes</t>
  </si>
  <si>
    <t>per vehicle</t>
  </si>
  <si>
    <t>Value of Travel Time</t>
  </si>
  <si>
    <t>Category</t>
  </si>
  <si>
    <t>Air and High-Speed Rail Travel</t>
  </si>
  <si>
    <t>Local Travel</t>
  </si>
  <si>
    <t>Personal</t>
  </si>
  <si>
    <t>Business</t>
  </si>
  <si>
    <t>Truck Drivers</t>
  </si>
  <si>
    <t>Bus Drivers</t>
  </si>
  <si>
    <t>Transit Rail Operators</t>
  </si>
  <si>
    <t>Locomotive Engineers</t>
  </si>
  <si>
    <t>Surface Modes (except high-speed rail) *</t>
  </si>
  <si>
    <t>Value of Emissions</t>
  </si>
  <si>
    <t>Emission Type</t>
  </si>
  <si>
    <t>Carbon dioxide (CO2)</t>
  </si>
  <si>
    <t>Volatile Organic Compounds (VOCs)</t>
  </si>
  <si>
    <t>Nitrogen Oxides (NOx)</t>
  </si>
  <si>
    <t>Particular matter (PM)</t>
  </si>
  <si>
    <t>Social Cost of Carbon (3%)</t>
  </si>
  <si>
    <t>Data Source:</t>
  </si>
  <si>
    <t>Sulfur dioxide (SOx)</t>
  </si>
  <si>
    <t>Total of Monetized Benefits</t>
  </si>
  <si>
    <t>Costs Evaluation</t>
  </si>
  <si>
    <t>Benefit Cost Ratio</t>
  </si>
  <si>
    <t>Total Benefits</t>
  </si>
  <si>
    <t>tons</t>
  </si>
  <si>
    <t>ton-miles/gallon</t>
  </si>
  <si>
    <t>Average Loaded Truck Weight:</t>
  </si>
  <si>
    <t>Source:</t>
  </si>
  <si>
    <t>Pricing Freight Transport to Account for External Costs, Congressional Budget Office Working Paper 2015-03, March 2015.  0.74-0.96 cents per truck ton-mile</t>
  </si>
  <si>
    <t>CO</t>
  </si>
  <si>
    <t>PM10</t>
  </si>
  <si>
    <t>VOC</t>
  </si>
  <si>
    <t>Emissions Tables</t>
  </si>
  <si>
    <t>HIGHWAY EMISSIONS FACTORS (g/mi)</t>
  </si>
  <si>
    <t>Mode</t>
  </si>
  <si>
    <t>Speed</t>
  </si>
  <si>
    <t>CO2</t>
  </si>
  <si>
    <t>NOX</t>
  </si>
  <si>
    <t>SOX</t>
  </si>
  <si>
    <t>See Tab 'Emissions'</t>
  </si>
  <si>
    <t>Net Reduction in Volatile Organic Compounds (VOCs) (Metric Tons)</t>
  </si>
  <si>
    <t>Net Reduction in Nitrogen Oxides (NOx) (Metric Tons)</t>
  </si>
  <si>
    <t>Single-Unit Truck</t>
  </si>
  <si>
    <t>Combination Truck</t>
  </si>
  <si>
    <t>Heavy Trucks Crash Rates</t>
  </si>
  <si>
    <t xml:space="preserve">Source: </t>
  </si>
  <si>
    <t>VMT</t>
  </si>
  <si>
    <t>VMT Share</t>
  </si>
  <si>
    <t>Average Total</t>
  </si>
  <si>
    <t>Value of Avoided Pavement Damage ($2014)</t>
  </si>
  <si>
    <t>Total in Non-Discounted Dollars (Less Carbon Emission)</t>
  </si>
  <si>
    <t>Construction Cost</t>
  </si>
  <si>
    <t>Subtotal</t>
  </si>
  <si>
    <t>Total Discounted Benefits at 3%</t>
  </si>
  <si>
    <t>Total Discounted Benefits at 7%</t>
  </si>
  <si>
    <t>Avoided Truck VMT (miles)</t>
  </si>
  <si>
    <t>Avoided Truck Driver Travel Time (hours)</t>
  </si>
  <si>
    <t>Changes between with and without Scenarios</t>
  </si>
  <si>
    <t>Years</t>
  </si>
  <si>
    <t>CAGR</t>
  </si>
  <si>
    <t>Emission factors:</t>
  </si>
  <si>
    <t>(varies)</t>
  </si>
  <si>
    <t>All purposes</t>
  </si>
  <si>
    <t>State of Good Repair</t>
  </si>
  <si>
    <t>Economic Competitiveness</t>
  </si>
  <si>
    <t>per truck ton-mile</t>
  </si>
  <si>
    <t>per VMT</t>
  </si>
  <si>
    <t>Emission Factor Projections for Trucks Traveling at 68 mph</t>
  </si>
  <si>
    <t>Monetized Values and Conversion Factors Used in the Analysis</t>
  </si>
  <si>
    <t>per hour</t>
  </si>
  <si>
    <t>Pavement Damage</t>
  </si>
  <si>
    <t>Truck Operating Costs</t>
  </si>
  <si>
    <t>Truck Driver Travel Time</t>
  </si>
  <si>
    <t>Truck Fuel Consumption</t>
  </si>
  <si>
    <t>Net Reduction in Diesel Consumption (Gallons)</t>
  </si>
  <si>
    <t>Number of Fatalities, Injuries, and PDO Crashes</t>
  </si>
  <si>
    <t>See Tab 'Safety'</t>
  </si>
  <si>
    <t>Truck Flow with and without Project</t>
  </si>
  <si>
    <t>Truck Flow with Project</t>
  </si>
  <si>
    <t>Truck Flow without Project</t>
  </si>
  <si>
    <t>Without Project:</t>
  </si>
  <si>
    <t>With Project :</t>
  </si>
  <si>
    <t>TEU to Truck and Rail Conversion Factors</t>
  </si>
  <si>
    <t>TEUs to Trucks</t>
  </si>
  <si>
    <t>TEUs per Truck</t>
  </si>
  <si>
    <t>TEUs to Railcar</t>
  </si>
  <si>
    <t>Railcar to Train</t>
  </si>
  <si>
    <t>Source</t>
  </si>
  <si>
    <t>Market Assessment</t>
  </si>
  <si>
    <t>With Project</t>
  </si>
  <si>
    <t>Without Project</t>
  </si>
  <si>
    <t>Average Rail Distance</t>
  </si>
  <si>
    <t>Average Rail Speed</t>
  </si>
  <si>
    <t>Average Rail Travel Time</t>
  </si>
  <si>
    <t>Average Travel Speed (mile/hour)</t>
  </si>
  <si>
    <t>Average Truck Distance (mile)</t>
  </si>
  <si>
    <t>Average Truck Travel Time (mins)</t>
  </si>
  <si>
    <t>Estimated Annual Truck Trips Generated by the Project</t>
  </si>
  <si>
    <t>Estimated Annual Train Trips Generated by the Project</t>
  </si>
  <si>
    <t>Rail Flow with and without Project</t>
  </si>
  <si>
    <t>Rail Flow with Project</t>
  </si>
  <si>
    <t>Rail Flow without Project</t>
  </si>
  <si>
    <t>Avoided Rail VMT (miles)</t>
  </si>
  <si>
    <t>Avoided Rail Ton-miles (ton-miles)</t>
  </si>
  <si>
    <t>Avoided Truck Ton-miles (ton-miles)</t>
  </si>
  <si>
    <t>Rail</t>
  </si>
  <si>
    <t>3% SCC ($2015)</t>
  </si>
  <si>
    <t>per rail ton-mile</t>
  </si>
  <si>
    <t>Notes: 1) Zero mph corresponds to starts, 2) Other emissions factors include idling emissions and exclude diurnal and evaporative emissions, 3) Five mph is best estimate for idling</t>
  </si>
  <si>
    <t>South Florida</t>
  </si>
  <si>
    <t>Central Florida</t>
  </si>
  <si>
    <t>Market Share</t>
  </si>
  <si>
    <t>TEUs Impacted by the Project</t>
  </si>
  <si>
    <t>Truck TEUs</t>
  </si>
  <si>
    <t>Rail TEUs</t>
  </si>
  <si>
    <t xml:space="preserve">Estimated Annual Truck Trips Generated by the Project - South Florida </t>
  </si>
  <si>
    <t>Estimated Annual Truck Trips Generated by the Project - Central Florida</t>
  </si>
  <si>
    <t xml:space="preserve">Estimated Annual Rail Trips Generated by the Project - South Florida </t>
  </si>
  <si>
    <t>Estimated Annual Rail Trips Generated by the Project - Central Florida</t>
  </si>
  <si>
    <t>Estimated Annual Truck Trips Generated by the Project - Southeastern US</t>
  </si>
  <si>
    <t>Estimated Annual Rail Trips Generated by the Project - Southeastern US</t>
  </si>
  <si>
    <t>Southeastern US</t>
  </si>
  <si>
    <t>Estimated Annual Truck Trips Generated without the Project</t>
  </si>
  <si>
    <t xml:space="preserve">Estimated Annual Truck Trips Generated without  the Project - South Florida </t>
  </si>
  <si>
    <t>Estimated Annual Truck Trips Generated without  the Project - Central Florida</t>
  </si>
  <si>
    <t>Estimated Annual Truck Trips Generated without  the Project - Southeastern US</t>
  </si>
  <si>
    <t>Estimated Annual Train Trips Generated without  the Project</t>
  </si>
  <si>
    <t xml:space="preserve">Estimated Annual Rail Trips Generated without  the Project - South Florida </t>
  </si>
  <si>
    <t>Estimated Annual Rail Trips Generated without  the Project - Central Florida</t>
  </si>
  <si>
    <t>Estimated Annual Rail Trips Generated without  the Project - Southeastern US</t>
  </si>
  <si>
    <t>South Florida*</t>
  </si>
  <si>
    <t>Central Florida*</t>
  </si>
  <si>
    <t>*No trains are anticipated to serve South or Central Florida via this project, default values set to 0</t>
  </si>
  <si>
    <t>Total Truck VMT with Project</t>
  </si>
  <si>
    <t>Truck VMT with Project - South Florida</t>
  </si>
  <si>
    <t>Truck VMT with Project - Central Florida</t>
  </si>
  <si>
    <t>Truck VMT with Project - Southeastern US</t>
  </si>
  <si>
    <t>Total Truck Trips with Project</t>
  </si>
  <si>
    <t>Truck VMT without Project - South Florida</t>
  </si>
  <si>
    <t>Truck VMT without Project - Central Florida</t>
  </si>
  <si>
    <t>Truck VMT without Project - Southeastern US</t>
  </si>
  <si>
    <t>Fatalities per Truck VMT</t>
  </si>
  <si>
    <t>Injuries per Truck VMT</t>
  </si>
  <si>
    <t>Property Damage Only Crashes per Truck VMT</t>
  </si>
  <si>
    <t>Per 100-million train-miles</t>
  </si>
  <si>
    <t>Fatalities</t>
  </si>
  <si>
    <t>Injuries</t>
  </si>
  <si>
    <t>Accidents</t>
  </si>
  <si>
    <t>Per train-mile</t>
  </si>
  <si>
    <t>Note: This excludes highway-rail grade-crossings accidents and there is no identification of Property Damage Only Crashes</t>
  </si>
  <si>
    <t>Property Damage (current $ million)</t>
  </si>
  <si>
    <t>Train Miles (millions)</t>
  </si>
  <si>
    <t>Intermodal Freight Connector Project</t>
  </si>
  <si>
    <t>Rail VMT with Project - South Florida</t>
  </si>
  <si>
    <t>Rail VMT with Project - Central Florida</t>
  </si>
  <si>
    <t>Rail VMT with Project - Southeastern US</t>
  </si>
  <si>
    <t>Rail VMT without Project - South Florida</t>
  </si>
  <si>
    <t>Rail VMT without Project - Central Florida</t>
  </si>
  <si>
    <t>Rail VMT without Project - Southeastern US</t>
  </si>
  <si>
    <t>South Florida - Without Project</t>
  </si>
  <si>
    <t>Truck Distance (miles)</t>
  </si>
  <si>
    <t>Truck Travel Time (minutes)</t>
  </si>
  <si>
    <t>Average Truck Speed (mile/hour)</t>
  </si>
  <si>
    <t>Share of Market</t>
  </si>
  <si>
    <t>Rail Distance (miles)</t>
  </si>
  <si>
    <t>Rail Travel Time (minutes)</t>
  </si>
  <si>
    <t>Average Rail Speed (mile/hour)</t>
  </si>
  <si>
    <t>Average</t>
  </si>
  <si>
    <t>Port Utilized - Truck</t>
  </si>
  <si>
    <t>Port Utilized - Rail</t>
  </si>
  <si>
    <t>Central Florida - Without Project</t>
  </si>
  <si>
    <t>Southeastern US - Without Project</t>
  </si>
  <si>
    <t>Truck Driver Travel Time without Project (hours)</t>
  </si>
  <si>
    <t>Value of Time</t>
  </si>
  <si>
    <t>Locomotive Engineer</t>
  </si>
  <si>
    <t>TEUs per Railcar</t>
  </si>
  <si>
    <t>Railcar per Train</t>
  </si>
  <si>
    <t>Rail Fuel Consumption</t>
  </si>
  <si>
    <t>revenue ton-miles/gallon</t>
  </si>
  <si>
    <t>Average Loaded Railcar</t>
  </si>
  <si>
    <t>Jacksonville</t>
  </si>
  <si>
    <t>Los Angeles/Long Beach</t>
  </si>
  <si>
    <t>Miami</t>
  </si>
  <si>
    <t>New York/New Jersey</t>
  </si>
  <si>
    <t>Savannah</t>
  </si>
  <si>
    <t>Virginia</t>
  </si>
  <si>
    <t>Truck Distance Source: Google Maps</t>
  </si>
  <si>
    <t>Freight Rail Speed: JOC, January 2016</t>
  </si>
  <si>
    <t>Truck Time Source: Google Maps, FHWA</t>
  </si>
  <si>
    <t>Freight Rail Distance: Set equal to truck with the exception of LA/LB to account for transfer in Kansas City</t>
  </si>
  <si>
    <t>PM2.5</t>
  </si>
  <si>
    <t>Discounted Benefits (Less Carbon Emissions) at 3%</t>
  </si>
  <si>
    <t>Rail Operating Costs</t>
  </si>
  <si>
    <t>Class I Railroad Statistics, 2016</t>
  </si>
  <si>
    <t>Sustainability</t>
  </si>
  <si>
    <t>Emission Factor Projections for Trucks Traveling at 53 mph</t>
  </si>
  <si>
    <t>Emission Factor Projections for Trucks Traveling at 54 mph</t>
  </si>
  <si>
    <t>Emission Factor Projections for Trucks Traveling at 65 mph</t>
  </si>
  <si>
    <t>Emission Factor Projections for Trucks Traveling at 66 mph</t>
  </si>
  <si>
    <t>Emission Factor Projections for Trucks Traveling at 69 mph</t>
  </si>
  <si>
    <t>Other Related Project Costs</t>
  </si>
  <si>
    <t>Port Everglades</t>
  </si>
  <si>
    <t>per ton-mile</t>
  </si>
  <si>
    <t>Pavement Damage with Project ($2014)</t>
  </si>
  <si>
    <t>Pavement Damage Without Project ($2014)</t>
  </si>
  <si>
    <t>Google</t>
  </si>
  <si>
    <t>Based on maximum vehicle operating weight less a 5% discount</t>
  </si>
  <si>
    <t>50% use of double stacked rail cars</t>
  </si>
  <si>
    <t>Industry standard to operate with FEU</t>
  </si>
  <si>
    <t>Annually</t>
  </si>
  <si>
    <t>Discounted Benefits (Less Carbon Emissions) at 7%</t>
  </si>
  <si>
    <t>Net Reduction in Sulfur Dioxide (SOx) (Metric Tons)</t>
  </si>
  <si>
    <t>Economic Competitiveness (US)</t>
  </si>
  <si>
    <t>State of Good Repair (US)</t>
  </si>
  <si>
    <t>Mode Split</t>
  </si>
  <si>
    <t>With Project Market Mode Split</t>
  </si>
  <si>
    <t>With Project Market Share</t>
  </si>
  <si>
    <t>Without Project Market Share</t>
  </si>
  <si>
    <t>Without Project Mode Split</t>
  </si>
  <si>
    <t>Emission Factors for Rail (g/ton-mile)</t>
  </si>
  <si>
    <t>Change Between With and Without Project</t>
  </si>
  <si>
    <t>Change in TEUs Impacted</t>
  </si>
  <si>
    <t xml:space="preserve">Estimated Annual Truck Trips - South Florida </t>
  </si>
  <si>
    <t>Estimated Annual Truck Trips</t>
  </si>
  <si>
    <t>Estimated Annual Truck Trips  - Central Florida</t>
  </si>
  <si>
    <t>Estimated Annual Truck Trips - Southeastern US</t>
  </si>
  <si>
    <t>Estimated Annual Train Trips</t>
  </si>
  <si>
    <t xml:space="preserve">Estimated Annual Rail Trips  - South Florida </t>
  </si>
  <si>
    <t>Estimated Annual Rail Trips - Central Florida</t>
  </si>
  <si>
    <t>Estimated Annual Rail Trips  - Southeastern US</t>
  </si>
  <si>
    <t>Total Truck Ton-miles with Project</t>
  </si>
  <si>
    <t>Total Truck Driver Travel Time with Project (hours)</t>
  </si>
  <si>
    <t>Total Truck Trips without Project</t>
  </si>
  <si>
    <t>Total Truck Ton-miles without Project</t>
  </si>
  <si>
    <t>Total Truck VMT without Project</t>
  </si>
  <si>
    <t>Total Rail Ton-miles without Project</t>
  </si>
  <si>
    <t>Total Rail VMT without Project</t>
  </si>
  <si>
    <t>Total Rail Trips without Project</t>
  </si>
  <si>
    <t>Total Rail Ton-miles with Project</t>
  </si>
  <si>
    <t>Total Rail VMT with Project</t>
  </si>
  <si>
    <t>Total Rail Trips with Project</t>
  </si>
  <si>
    <t>Diesel Consumption (Gallons)</t>
  </si>
  <si>
    <t>Nitrogen Oxides (NOx) (Metric Tons)</t>
  </si>
  <si>
    <t>Sulfur Dioxide (SOx) (Metric Tons)</t>
  </si>
  <si>
    <t>Volatile Organic Compounds (VOCs) (Metric Tons)</t>
  </si>
  <si>
    <t>Fatalities with Project</t>
  </si>
  <si>
    <t>Fatalities without Project</t>
  </si>
  <si>
    <t>Change in Fatalities</t>
  </si>
  <si>
    <t>Injuries with Project</t>
  </si>
  <si>
    <t>Injuries without Project</t>
  </si>
  <si>
    <t>Property Damage Only Truck Crashes with Project</t>
  </si>
  <si>
    <t>Property Damage Only Truck Crashes without Project</t>
  </si>
  <si>
    <t>Change in Injuries</t>
  </si>
  <si>
    <t>Change in Property Damage Only Truck Crashes</t>
  </si>
  <si>
    <t>Total Locomotive Engineer Time with Project</t>
  </si>
  <si>
    <t>Total Locomotive Engineer Time without Project</t>
  </si>
  <si>
    <t>Avoided Locomotive Engineer Travel Time (hours)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</si>
  <si>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(Metric Tons)</t>
    </r>
  </si>
  <si>
    <r>
      <t>Net Reduction in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(Metric Tons)</t>
    </r>
  </si>
  <si>
    <t>Particulate Matter (PM) (Metric Tons)</t>
  </si>
  <si>
    <t>Net Reduction in Particulate Matter (PM) (Metric Tons)</t>
  </si>
  <si>
    <t>Total Annual Spending 2015 Data: Association of American Railroads. Costs include fuel ($6.7B), property tax ($1.2B), Materials &amp; Supplies ($0.3B) and Maintenance ($9.7 B) over 1.7 trillion ton-miles</t>
  </si>
  <si>
    <t>Share of Highway Vehicle-Miles Traveled by Vehicle Type (2013)</t>
  </si>
  <si>
    <t>https://www.epa.gov/sites/production/files/2016-07/documents/420b16066.pdf</t>
  </si>
  <si>
    <t>West Lake Park Mitigation Program/Plan/Engineer/Design</t>
  </si>
  <si>
    <t>West Lake Park Mitigation Construction</t>
  </si>
  <si>
    <t>2015-2017</t>
  </si>
  <si>
    <t>Upland Enhancement (Wetland Creation) Construction</t>
  </si>
  <si>
    <t>Crane Rail at Berth 30 Extension</t>
  </si>
  <si>
    <t>3 Super Post Panamax Cranes</t>
  </si>
  <si>
    <t>Inflation Adjustment Values</t>
  </si>
  <si>
    <t>Model Year 2016</t>
  </si>
  <si>
    <t>Model Year 2036</t>
  </si>
  <si>
    <t>California Life-Cycle Benefit/Cost Analysis Model (Version 6.0), Caltrans, 2017</t>
  </si>
  <si>
    <t>Large Truck and Bus Crash Facts 2015, Federal Motor Carrier Safety Administration (FMCSA), April 2017</t>
  </si>
  <si>
    <t>Freight Rail Crash Rates (2016)</t>
  </si>
  <si>
    <t>Property Damage/Train Mile ($2016)</t>
  </si>
  <si>
    <t xml:space="preserve">Source: Bureau of Transportation Statistics Table 2-43 Railraod System Safety and Property Damage Data, 2016. </t>
  </si>
  <si>
    <t>2017 SmartWay Logistics Company Partner Tool: Technical Documentation U.S. Version 2.0.16 (2016 Data Year)</t>
  </si>
  <si>
    <t>2016 Vehicle Technologies Market Report, Oak Ridge National Laboratory, U.S. Department of Energy, May 2017 (http://cta.ornl.gov/vtmarketreport/index.shtml)</t>
  </si>
  <si>
    <t>FAF 4.4</t>
  </si>
  <si>
    <t>Construction Manager (Crane Rail)</t>
  </si>
  <si>
    <t>2022-2051</t>
  </si>
  <si>
    <t>Freight Facts and Figures 2017, FHWA</t>
  </si>
  <si>
    <t>Benefit-Cost Analysis Guidance for Discretionary Grant Programs - June 2018</t>
  </si>
  <si>
    <t>Conversion Factor (Multiply Year-Dollars by Conversion Factor to Get 2017 Dollars)</t>
  </si>
  <si>
    <t>Unit Value ($2017)</t>
  </si>
  <si>
    <t>Value of Avoided Pavement Damage ($2017)</t>
  </si>
  <si>
    <t>Truck and Rail Operating Costs with Project ($2017)</t>
  </si>
  <si>
    <t>Truck and Rail Operating Costs without Project ($2017)</t>
  </si>
  <si>
    <t>Truck and Rail Operating Cost Savings ($2017)</t>
  </si>
  <si>
    <t>Truck and Rail Driver Travel Time Cost with Project ($2017)</t>
  </si>
  <si>
    <t>Truck and Rail Driver Travel Time Cost without Project ($2017)</t>
  </si>
  <si>
    <t>Truck and Rail Driver Travel Time Savings ($2017)</t>
  </si>
  <si>
    <t>Total Operating Costs with Project ($2017)</t>
  </si>
  <si>
    <t>Total Operating Costs without Project ($2017)</t>
  </si>
  <si>
    <t>Total Operating Cost Savings ($2017)</t>
  </si>
  <si>
    <t>Safety Savings from Change in Fatalities ($2017)</t>
  </si>
  <si>
    <t>Safety Savings from Change in Injuries ($2017)</t>
  </si>
  <si>
    <t>Safety Savings from Change in Property Damage Only Truck Crashes ($2017)</t>
  </si>
  <si>
    <t>Railroad Property Damage with Project ($2017)</t>
  </si>
  <si>
    <t>Railroad Property Damage without Project ($2017)</t>
  </si>
  <si>
    <t>Change in Railroad Property Damage ($2017)</t>
  </si>
  <si>
    <t>Safety Savings ($2017)</t>
  </si>
  <si>
    <t>Preconstruction Services</t>
  </si>
  <si>
    <t>Bulk Excavating, Blasting, Dredging</t>
  </si>
  <si>
    <t>Bulkheads</t>
  </si>
  <si>
    <t>Temporary Sheet Pile Wall</t>
  </si>
  <si>
    <t>Civil Upland Container Yard Work</t>
  </si>
  <si>
    <t>Drainage, Water &amp; Fire Protection</t>
  </si>
  <si>
    <t>Electrical, Lighting, Cathodic Protection</t>
  </si>
  <si>
    <t>Moorings, Fenders &amp; Bollards</t>
  </si>
  <si>
    <t>Coral Relocation (Coral)</t>
  </si>
  <si>
    <t>Auger Cast Pile</t>
  </si>
  <si>
    <t>Fencing &amp; Guardrail</t>
  </si>
  <si>
    <t>Site Services, General Requirements</t>
  </si>
  <si>
    <t>Construction During Preconstruction</t>
  </si>
  <si>
    <t>General Conditions, Contingency</t>
  </si>
  <si>
    <t>Crane Rails at Berths 31 and 32</t>
  </si>
  <si>
    <t>FPL Duct Bank</t>
  </si>
  <si>
    <t>Lay Days Delay Allowance, Contingency</t>
  </si>
  <si>
    <t>Inspection/Commissioning</t>
  </si>
  <si>
    <t>Total Expenditures</t>
  </si>
  <si>
    <t>Broward County Government</t>
  </si>
  <si>
    <t>Port Everglades Department</t>
  </si>
  <si>
    <t>Project Expenditures</t>
  </si>
  <si>
    <t>Totals</t>
  </si>
  <si>
    <t>Fiscal Years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</si>
  <si>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</si>
  <si>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</si>
  <si>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</si>
  <si>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</si>
  <si>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</si>
  <si>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</si>
  <si>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</si>
  <si>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</si>
  <si>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FY2023</t>
  </si>
  <si>
    <t>Construction Total</t>
  </si>
  <si>
    <t>in 2014$</t>
  </si>
  <si>
    <t>in 2015$</t>
  </si>
  <si>
    <t>in 2016$</t>
  </si>
  <si>
    <t>in 2017$</t>
  </si>
  <si>
    <t>in 2018$</t>
  </si>
  <si>
    <t>Calendar Years</t>
  </si>
  <si>
    <t>Other Related Costs (in calendar years)</t>
  </si>
  <si>
    <t>Project-related Total (in calendar years, subject to inflation adjustment)</t>
  </si>
  <si>
    <t>Project-related Total (in 2017$, in calendar years)</t>
  </si>
  <si>
    <t>Source: CBO, April 2018</t>
  </si>
  <si>
    <t>Estimated GDP Price Index for 2018</t>
  </si>
  <si>
    <t>Total Costs (in 2017$)</t>
  </si>
  <si>
    <t>Total (in 2017$)</t>
  </si>
  <si>
    <t>2019-2020</t>
  </si>
  <si>
    <t>Subject to inflation adjustment</t>
  </si>
  <si>
    <t>Costs</t>
  </si>
  <si>
    <t>Project Costs (Discounted at 3%)</t>
  </si>
  <si>
    <t>Project Costs (Discounted at 7%)</t>
  </si>
  <si>
    <t>Property Damage/Train Mile ($2017)</t>
  </si>
  <si>
    <t>Benefit and Cost Metrics</t>
  </si>
  <si>
    <t>Discounted at 7%</t>
  </si>
  <si>
    <t>Before Discounting</t>
  </si>
  <si>
    <t>Project Benefits</t>
  </si>
  <si>
    <t>Project Costs</t>
  </si>
  <si>
    <t>Capital</t>
  </si>
  <si>
    <t>O&amp;M Costs</t>
  </si>
  <si>
    <t>Total Project Costs</t>
  </si>
  <si>
    <t>Total Benefits less Total Costs (NPV)</t>
  </si>
  <si>
    <t>Internal Rate of Return</t>
  </si>
  <si>
    <t xml:space="preserve">2014-2051 Totals </t>
  </si>
  <si>
    <t>Benefit-Cost Analysis Results (in millions of 2017$)*</t>
  </si>
  <si>
    <t>N/A</t>
  </si>
  <si>
    <t>Capital Costs (2017$)</t>
  </si>
  <si>
    <t>Project Costs (2017$)</t>
  </si>
  <si>
    <t>O&amp;M Costs (2017$)</t>
  </si>
  <si>
    <t>Capital Costs (Discounted at 7%)</t>
  </si>
  <si>
    <t>O&amp;M Costs (Discounted at 7%)</t>
  </si>
  <si>
    <t>BCA - Summary Results</t>
  </si>
  <si>
    <t>7% Discount Rate</t>
  </si>
  <si>
    <t>3% Discount Rate</t>
  </si>
  <si>
    <t>Benefit-Cost Ratio</t>
  </si>
  <si>
    <t>Debris Removal, Demolition, Civil Earthwork, Rip Rap, Erosion Control, Clear &amp; Grub</t>
  </si>
  <si>
    <t>State of Good Repair (2017$)</t>
  </si>
  <si>
    <t>Economic Competitiveness (2017$)</t>
  </si>
  <si>
    <t xml:space="preserve">Environmental Less Carbon Emission (2017$) </t>
  </si>
  <si>
    <t>Safety (2017$)</t>
  </si>
  <si>
    <t>State of Good Repair (Discounted at 7%, 2017$)</t>
  </si>
  <si>
    <t>Economic Competitiveness (Discounted at 7%, 2017$)</t>
  </si>
  <si>
    <t xml:space="preserve">Environmental Less Carbon Emission (Discounted at 7%, 2017$) </t>
  </si>
  <si>
    <t>Safety (Discounted at 7%, 2017$)</t>
  </si>
  <si>
    <t>Benefits less Costs (2017$)</t>
  </si>
  <si>
    <t>IRR</t>
  </si>
  <si>
    <t>Environmental Protection**</t>
  </si>
  <si>
    <t>Benefit-Cost Ratio***</t>
  </si>
  <si>
    <t>* Unless specified otherwise. ** Environmental Protection benefits do not include Carbon Dioxide monetization. ***Note that the Benefit-Cost Ratio was calculated as: (Benefits – O&amp;M Costs) / Capital Costs, in compliance with the latest Benefit-Cost Guidance for Discretionary Grant Programs</t>
  </si>
  <si>
    <t>Vehicle Operating Costs</t>
  </si>
  <si>
    <t>Commerical Trucks</t>
  </si>
  <si>
    <t>Recommended Hourly Value of Travel Time Savings (2017 U.S. $ per person-hour)</t>
  </si>
  <si>
    <t>$/metric ton (2017$)</t>
  </si>
  <si>
    <t>$/short ton (2017$)</t>
  </si>
  <si>
    <t>Value (2017$)</t>
  </si>
  <si>
    <t>Value (2014$)</t>
  </si>
  <si>
    <t>Westlake Park Mitigation Construction</t>
  </si>
  <si>
    <r>
      <t>Value of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(2017$)</t>
    </r>
  </si>
  <si>
    <t>Value of NOx (2017$)</t>
  </si>
  <si>
    <t>Value of PM (2017$)</t>
  </si>
  <si>
    <t>Value of SOx (2017$)</t>
  </si>
  <si>
    <t>Value of VOCs (2017$)</t>
  </si>
  <si>
    <t>SCC ($2017)</t>
  </si>
  <si>
    <t>Environmental Protection</t>
  </si>
  <si>
    <t>Non-Discounted Benefits of Carbon Emissions Only</t>
  </si>
  <si>
    <r>
      <t xml:space="preserve">Net Present Value </t>
    </r>
    <r>
      <rPr>
        <sz val="11"/>
        <color theme="1"/>
        <rFont val="Arial Narrow"/>
        <family val="2"/>
      </rPr>
      <t>(2017$, in millions)</t>
    </r>
  </si>
  <si>
    <r>
      <t xml:space="preserve">Total Benefits </t>
    </r>
    <r>
      <rPr>
        <sz val="11"/>
        <color theme="1"/>
        <rFont val="Arial Narrow"/>
        <family val="2"/>
      </rPr>
      <t>(2017$, in millions)</t>
    </r>
  </si>
  <si>
    <r>
      <t>Total Costs</t>
    </r>
    <r>
      <rPr>
        <sz val="11"/>
        <color theme="1"/>
        <rFont val="Arial Narrow"/>
        <family val="2"/>
      </rPr>
      <t xml:space="preserve"> (2017$, in millions) </t>
    </r>
  </si>
  <si>
    <t>Environmental Protection (US)</t>
  </si>
  <si>
    <t>Capital Costs (Discounted at 3%)</t>
  </si>
  <si>
    <t>O&amp;M Costs (Discounted at 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</si>
</sst>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  <numFmt numFmtId="167" formatCode="0.0000"/>
    <numFmt numFmtId="168" formatCode="_(* #,##0.0_);_(* \(#,##0.0\);_(* &quot;-&quot;??_);_(@_)"/>
    <numFmt numFmtId="169" formatCode="0.000000000"/>
    <numFmt numFmtId="170" formatCode="0.0"/>
    <numFmt numFmtId="171" formatCode="&quot;$&quot;#,##0"/>
    <numFmt numFmtId="172" formatCode="&quot;$&quot;#,##0.000"/>
    <numFmt numFmtId="173" formatCode="_(* #,##0.0_);_(* \(#,##0.0\);_(* &quot;-&quot;?_);_(@_)"/>
    <numFmt numFmtId="174" formatCode="_(* #,##0.000_);_(* \(#,##0.000\);_(* &quot;-&quot;??_);_(@_)"/>
    <numFmt numFmtId="175" formatCode="0.0%"/>
    <numFmt numFmtId="176" formatCode="&quot;$&quot;#,##0.0_);[Red]\(&quot;$&quot;#,##0.0\)"/>
    <numFmt numFmtId="177" formatCode="0_);[Red]\(0\)"/>
    <numFmt numFmtId="178" formatCode="&quot;$&quot;#,##0.00"/>
    <numFmt numFmtId="179" formatCode="#,##0.0_);\(#,##0.0\)"/>
    <numFmt numFmtId="180" formatCode="&quot;$&quot;#,##0.000_);[Red]\(&quot;$&quot;#,##0.000\)"/>
    <numFmt numFmtId="181" formatCode="&quot;$&quot;#,##0.00000_);[Red]\(&quot;$&quot;#,##0.00000\)"/>
    <numFmt numFmtId="182" formatCode="_(&quot;$&quot;* #,##0.0_);_(&quot;$&quot;* \(#,##0.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800000"/>
      <name val="Arial"/>
      <family val="2"/>
    </font>
    <font>
      <sz val="10"/>
      <name val="Arial"/>
      <family val="2"/>
    </font>
    <font>
      <b/>
      <sz val="10"/>
      <color rgb="FF000080"/>
      <name val="Arial"/>
      <family val="2"/>
    </font>
    <font>
      <sz val="10"/>
      <color rgb="FF8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indexed="16"/>
      <name val="Arial"/>
      <family val="2"/>
    </font>
    <font>
      <i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 tint="-0.34998626667073579"/>
      <name val="Arial Narrow"/>
      <family val="2"/>
    </font>
    <font>
      <u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0" tint="-0.499984740745262"/>
      <name val="Arial Narrow"/>
      <family val="2"/>
    </font>
    <font>
      <b/>
      <i/>
      <sz val="11"/>
      <color theme="1"/>
      <name val="Arial Narrow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Arial Narrow"/>
      <family val="2"/>
    </font>
    <font>
      <i/>
      <sz val="11"/>
      <name val="Arial Narrow"/>
      <family val="2"/>
    </font>
    <font>
      <i/>
      <sz val="9"/>
      <color theme="1"/>
      <name val="Arial Narrow"/>
      <family val="2"/>
    </font>
    <font>
      <sz val="8"/>
      <color theme="0" tint="-0.14999847407452621"/>
      <name val="Arial Narrow"/>
      <family val="2"/>
    </font>
    <font>
      <b/>
      <sz val="14"/>
      <color theme="1"/>
      <name val="Arial Narrow"/>
      <family val="2"/>
    </font>
    <font>
      <u val="singleAccounting"/>
      <sz val="11"/>
      <color theme="1"/>
      <name val="Calibri"/>
      <family val="2"/>
      <scheme val="minor"/>
    </font>
    <font>
      <b/>
      <u/>
      <sz val="12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4999847407452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3" borderId="1" applyNumberFormat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63" xfId="0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68" xfId="0" applyNumberFormat="1" applyFill="1" applyBorder="1" applyAlignment="1">
      <alignment horizontal="center"/>
    </xf>
    <xf numFmtId="0" fontId="4" fillId="0" borderId="35" xfId="0" applyFont="1" applyFill="1" applyBorder="1"/>
    <xf numFmtId="0" fontId="2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64" fontId="0" fillId="0" borderId="69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 vertical="center" wrapText="1"/>
    </xf>
    <xf numFmtId="0" fontId="2" fillId="0" borderId="15" xfId="0" applyFont="1" applyFill="1" applyBorder="1"/>
    <xf numFmtId="164" fontId="0" fillId="0" borderId="32" xfId="0" applyNumberFormat="1" applyFill="1" applyBorder="1" applyAlignment="1">
      <alignment horizontal="center"/>
    </xf>
    <xf numFmtId="3" fontId="0" fillId="0" borderId="0" xfId="0" applyNumberFormat="1" applyFill="1" applyBorder="1"/>
    <xf numFmtId="164" fontId="0" fillId="0" borderId="71" xfId="0" applyNumberForma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56" xfId="0" applyFont="1" applyFill="1" applyBorder="1"/>
    <xf numFmtId="0" fontId="11" fillId="0" borderId="35" xfId="0" applyFont="1" applyFill="1" applyBorder="1"/>
    <xf numFmtId="0" fontId="0" fillId="0" borderId="35" xfId="0" applyFont="1" applyFill="1" applyBorder="1"/>
    <xf numFmtId="0" fontId="11" fillId="0" borderId="52" xfId="0" applyFont="1" applyFill="1" applyBorder="1"/>
    <xf numFmtId="6" fontId="2" fillId="0" borderId="0" xfId="0" applyNumberFormat="1" applyFont="1" applyFill="1" applyBorder="1"/>
    <xf numFmtId="0" fontId="4" fillId="0" borderId="0" xfId="0" applyFont="1" applyFill="1"/>
    <xf numFmtId="3" fontId="0" fillId="0" borderId="0" xfId="0" applyNumberFormat="1" applyFill="1"/>
    <xf numFmtId="170" fontId="0" fillId="0" borderId="0" xfId="0" applyNumberFormat="1" applyFill="1"/>
    <xf numFmtId="164" fontId="0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4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68" fontId="0" fillId="0" borderId="0" xfId="1" applyNumberFormat="1" applyFont="1" applyFill="1" applyBorder="1" applyAlignment="1">
      <alignment vertical="center"/>
    </xf>
    <xf numFmtId="164" fontId="0" fillId="0" borderId="50" xfId="1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5" fontId="0" fillId="0" borderId="20" xfId="0" applyNumberFormat="1" applyFill="1" applyBorder="1"/>
    <xf numFmtId="165" fontId="0" fillId="0" borderId="60" xfId="0" applyNumberFormat="1" applyFill="1" applyBorder="1"/>
    <xf numFmtId="165" fontId="0" fillId="0" borderId="44" xfId="0" applyNumberFormat="1" applyFill="1" applyBorder="1"/>
    <xf numFmtId="168" fontId="19" fillId="0" borderId="0" xfId="0" applyNumberFormat="1" applyFont="1" applyFill="1" applyBorder="1"/>
    <xf numFmtId="165" fontId="0" fillId="0" borderId="0" xfId="0" applyNumberFormat="1" applyFill="1" applyBorder="1"/>
    <xf numFmtId="165" fontId="0" fillId="0" borderId="36" xfId="0" applyNumberFormat="1" applyFill="1" applyBorder="1"/>
    <xf numFmtId="0" fontId="0" fillId="0" borderId="32" xfId="0" applyFill="1" applyBorder="1" applyAlignment="1">
      <alignment horizontal="center"/>
    </xf>
    <xf numFmtId="164" fontId="0" fillId="0" borderId="33" xfId="0" applyNumberFormat="1" applyFill="1" applyBorder="1"/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vertical="center"/>
    </xf>
    <xf numFmtId="164" fontId="0" fillId="0" borderId="4" xfId="1" applyNumberFormat="1" applyFont="1" applyFill="1" applyBorder="1" applyAlignment="1">
      <alignment vertical="center"/>
    </xf>
    <xf numFmtId="164" fontId="0" fillId="0" borderId="3" xfId="1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vertical="center"/>
    </xf>
    <xf numFmtId="164" fontId="0" fillId="0" borderId="0" xfId="1" applyNumberFormat="1" applyFont="1" applyFill="1" applyBorder="1"/>
    <xf numFmtId="0" fontId="0" fillId="0" borderId="47" xfId="0" applyFont="1" applyBorder="1"/>
    <xf numFmtId="0" fontId="0" fillId="0" borderId="48" xfId="0" applyFont="1" applyBorder="1"/>
    <xf numFmtId="0" fontId="0" fillId="0" borderId="0" xfId="0" applyFont="1"/>
    <xf numFmtId="0" fontId="0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0" xfId="0" applyFont="1" applyBorder="1"/>
    <xf numFmtId="37" fontId="19" fillId="0" borderId="36" xfId="1" applyNumberFormat="1" applyFont="1" applyFill="1" applyBorder="1"/>
    <xf numFmtId="37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wrapText="1"/>
    </xf>
    <xf numFmtId="0" fontId="0" fillId="0" borderId="0" xfId="0" applyFont="1" applyFill="1"/>
    <xf numFmtId="0" fontId="0" fillId="0" borderId="57" xfId="0" applyFont="1" applyFill="1" applyBorder="1"/>
    <xf numFmtId="0" fontId="0" fillId="0" borderId="58" xfId="0" applyFont="1" applyFill="1" applyBorder="1"/>
    <xf numFmtId="0" fontId="0" fillId="0" borderId="0" xfId="0" applyFont="1" applyFill="1" applyBorder="1"/>
    <xf numFmtId="0" fontId="0" fillId="0" borderId="36" xfId="0" applyFont="1" applyFill="1" applyBorder="1"/>
    <xf numFmtId="0" fontId="0" fillId="0" borderId="54" xfId="0" applyFont="1" applyFill="1" applyBorder="1"/>
    <xf numFmtId="0" fontId="0" fillId="0" borderId="3" xfId="0" applyFont="1" applyFill="1" applyBorder="1"/>
    <xf numFmtId="0" fontId="0" fillId="0" borderId="55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8" xfId="0" applyFont="1" applyFill="1" applyBorder="1"/>
    <xf numFmtId="0" fontId="0" fillId="0" borderId="53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50" xfId="0" applyFont="1" applyFill="1" applyBorder="1"/>
    <xf numFmtId="0" fontId="0" fillId="0" borderId="5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19" fillId="0" borderId="0" xfId="4" applyFont="1" applyFill="1"/>
    <xf numFmtId="0" fontId="19" fillId="0" borderId="0" xfId="4" applyFont="1" applyFill="1" applyBorder="1"/>
    <xf numFmtId="0" fontId="0" fillId="0" borderId="15" xfId="0" applyFont="1" applyFill="1" applyBorder="1"/>
    <xf numFmtId="3" fontId="0" fillId="0" borderId="0" xfId="0" applyNumberFormat="1" applyFont="1" applyFill="1" applyBorder="1" applyAlignment="1">
      <alignment vertical="center"/>
    </xf>
    <xf numFmtId="0" fontId="0" fillId="0" borderId="49" xfId="0" applyFont="1" applyFill="1" applyBorder="1"/>
    <xf numFmtId="3" fontId="0" fillId="0" borderId="0" xfId="0" applyNumberFormat="1" applyFont="1" applyFill="1" applyBorder="1"/>
    <xf numFmtId="169" fontId="0" fillId="0" borderId="0" xfId="0" applyNumberFormat="1" applyFont="1" applyFill="1"/>
    <xf numFmtId="0" fontId="2" fillId="0" borderId="46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0" fillId="0" borderId="3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38" xfId="0" applyFont="1" applyFill="1" applyBorder="1"/>
    <xf numFmtId="0" fontId="0" fillId="0" borderId="39" xfId="0" applyFont="1" applyFill="1" applyBorder="1"/>
    <xf numFmtId="0" fontId="0" fillId="0" borderId="40" xfId="0" applyFont="1" applyFill="1" applyBorder="1"/>
    <xf numFmtId="0" fontId="0" fillId="0" borderId="41" xfId="0" applyFont="1" applyFill="1" applyBorder="1"/>
    <xf numFmtId="0" fontId="0" fillId="0" borderId="43" xfId="0" applyFont="1" applyFill="1" applyBorder="1"/>
    <xf numFmtId="0" fontId="0" fillId="0" borderId="45" xfId="0" applyFont="1" applyFill="1" applyBorder="1"/>
    <xf numFmtId="0" fontId="0" fillId="0" borderId="0" xfId="0" applyFont="1" applyFill="1" applyAlignment="1">
      <alignment vertical="center"/>
    </xf>
    <xf numFmtId="0" fontId="0" fillId="0" borderId="3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173" fontId="0" fillId="0" borderId="0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164" fontId="2" fillId="0" borderId="47" xfId="1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5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0" fontId="0" fillId="0" borderId="6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  <xf numFmtId="10" fontId="0" fillId="0" borderId="2" xfId="0" applyNumberFormat="1" applyFont="1" applyFill="1" applyBorder="1" applyAlignment="1">
      <alignment vertical="center"/>
    </xf>
    <xf numFmtId="9" fontId="0" fillId="0" borderId="6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9" fontId="0" fillId="0" borderId="5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9" fontId="0" fillId="0" borderId="74" xfId="0" applyNumberFormat="1" applyFont="1" applyFill="1" applyBorder="1" applyAlignment="1">
      <alignment horizontal="center" vertical="center"/>
    </xf>
    <xf numFmtId="9" fontId="0" fillId="0" borderId="50" xfId="0" applyNumberFormat="1" applyFont="1" applyFill="1" applyBorder="1" applyAlignment="1">
      <alignment horizontal="center" vertical="center"/>
    </xf>
    <xf numFmtId="9" fontId="0" fillId="0" borderId="7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9" fontId="0" fillId="0" borderId="15" xfId="0" applyNumberFormat="1" applyFont="1" applyFill="1" applyBorder="1" applyAlignment="1">
      <alignment horizontal="center"/>
    </xf>
    <xf numFmtId="0" fontId="24" fillId="0" borderId="46" xfId="0" applyFont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6" xfId="1" applyNumberFormat="1" applyFont="1" applyFill="1" applyBorder="1"/>
    <xf numFmtId="0" fontId="0" fillId="0" borderId="4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5" fontId="0" fillId="0" borderId="0" xfId="70" applyNumberFormat="1" applyFont="1" applyFill="1" applyBorder="1"/>
    <xf numFmtId="0" fontId="0" fillId="0" borderId="49" xfId="0" applyFill="1" applyBorder="1" applyAlignment="1">
      <alignment horizontal="center"/>
    </xf>
    <xf numFmtId="165" fontId="0" fillId="0" borderId="50" xfId="0" applyNumberFormat="1" applyFill="1" applyBorder="1"/>
    <xf numFmtId="165" fontId="0" fillId="0" borderId="51" xfId="0" applyNumberFormat="1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5" fontId="0" fillId="0" borderId="35" xfId="0" applyNumberFormat="1" applyFill="1" applyBorder="1" applyAlignment="1">
      <alignment horizontal="center"/>
    </xf>
    <xf numFmtId="165" fontId="0" fillId="0" borderId="36" xfId="70" applyNumberFormat="1" applyFont="1" applyFill="1" applyBorder="1"/>
    <xf numFmtId="165" fontId="0" fillId="0" borderId="35" xfId="70" applyNumberFormat="1" applyFont="1" applyFill="1" applyBorder="1"/>
    <xf numFmtId="165" fontId="0" fillId="0" borderId="35" xfId="0" applyNumberFormat="1" applyFill="1" applyBorder="1"/>
    <xf numFmtId="165" fontId="0" fillId="0" borderId="49" xfId="0" applyNumberFormat="1" applyFill="1" applyBorder="1"/>
    <xf numFmtId="42" fontId="0" fillId="0" borderId="63" xfId="0" applyNumberFormat="1" applyFill="1" applyBorder="1" applyAlignment="1">
      <alignment horizontal="center"/>
    </xf>
    <xf numFmtId="42" fontId="0" fillId="0" borderId="77" xfId="0" applyNumberFormat="1" applyFill="1" applyBorder="1" applyAlignment="1">
      <alignment horizontal="center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0" fillId="0" borderId="0" xfId="0" applyFont="1" applyFill="1"/>
    <xf numFmtId="164" fontId="0" fillId="0" borderId="59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36" xfId="1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60" xfId="1" applyNumberFormat="1" applyFont="1" applyFill="1" applyBorder="1" applyAlignment="1">
      <alignment horizontal="center"/>
    </xf>
    <xf numFmtId="43" fontId="0" fillId="0" borderId="0" xfId="0" applyNumberFormat="1" applyFill="1"/>
    <xf numFmtId="164" fontId="0" fillId="0" borderId="42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0" fontId="0" fillId="0" borderId="54" xfId="0" applyFill="1" applyBorder="1" applyAlignment="1">
      <alignment horizontal="center"/>
    </xf>
    <xf numFmtId="164" fontId="0" fillId="0" borderId="50" xfId="0" applyNumberFormat="1" applyFill="1" applyBorder="1"/>
    <xf numFmtId="164" fontId="19" fillId="0" borderId="0" xfId="0" applyNumberFormat="1" applyFont="1" applyFill="1" applyBorder="1"/>
    <xf numFmtId="164" fontId="0" fillId="0" borderId="3" xfId="0" applyNumberFormat="1" applyFill="1" applyBorder="1"/>
    <xf numFmtId="165" fontId="0" fillId="0" borderId="3" xfId="0" applyNumberFormat="1" applyFill="1" applyBorder="1"/>
    <xf numFmtId="165" fontId="0" fillId="0" borderId="55" xfId="0" applyNumberFormat="1" applyFill="1" applyBorder="1"/>
    <xf numFmtId="165" fontId="0" fillId="0" borderId="33" xfId="0" applyNumberFormat="1" applyFill="1" applyBorder="1"/>
    <xf numFmtId="165" fontId="0" fillId="0" borderId="34" xfId="0" applyNumberFormat="1" applyFill="1" applyBorder="1"/>
    <xf numFmtId="0" fontId="0" fillId="0" borderId="37" xfId="0" applyFill="1" applyBorder="1"/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/>
    </xf>
    <xf numFmtId="164" fontId="0" fillId="0" borderId="35" xfId="0" applyNumberFormat="1" applyFill="1" applyBorder="1"/>
    <xf numFmtId="164" fontId="0" fillId="0" borderId="35" xfId="0" applyNumberFormat="1" applyFill="1" applyBorder="1" applyAlignment="1">
      <alignment horizontal="right"/>
    </xf>
    <xf numFmtId="164" fontId="0" fillId="0" borderId="49" xfId="0" applyNumberFormat="1" applyFill="1" applyBorder="1"/>
    <xf numFmtId="0" fontId="0" fillId="0" borderId="75" xfId="0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vertical="center"/>
    </xf>
    <xf numFmtId="174" fontId="0" fillId="0" borderId="0" xfId="0" applyNumberFormat="1" applyFill="1"/>
    <xf numFmtId="0" fontId="0" fillId="0" borderId="50" xfId="0" applyFont="1" applyFill="1" applyBorder="1" applyAlignment="1">
      <alignment vertical="center"/>
    </xf>
    <xf numFmtId="0" fontId="2" fillId="0" borderId="35" xfId="0" applyFont="1" applyFill="1" applyBorder="1"/>
    <xf numFmtId="6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13" fillId="0" borderId="0" xfId="4" applyFont="1" applyFill="1"/>
    <xf numFmtId="0" fontId="19" fillId="0" borderId="9" xfId="4" applyFont="1" applyFill="1" applyBorder="1"/>
    <xf numFmtId="0" fontId="19" fillId="0" borderId="7" xfId="4" applyFont="1" applyFill="1" applyBorder="1" applyAlignment="1">
      <alignment horizontal="center" vertical="center" wrapText="1"/>
    </xf>
    <xf numFmtId="0" fontId="19" fillId="0" borderId="6" xfId="4" applyFont="1" applyFill="1" applyBorder="1"/>
    <xf numFmtId="0" fontId="19" fillId="0" borderId="4" xfId="4" applyFont="1" applyFill="1" applyBorder="1"/>
    <xf numFmtId="166" fontId="19" fillId="0" borderId="0" xfId="4" applyNumberFormat="1" applyFont="1" applyFill="1" applyBorder="1"/>
    <xf numFmtId="0" fontId="2" fillId="0" borderId="47" xfId="0" applyFont="1" applyFill="1" applyBorder="1"/>
    <xf numFmtId="0" fontId="2" fillId="0" borderId="48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165" fontId="0" fillId="0" borderId="63" xfId="0" applyNumberForma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wrapText="1"/>
    </xf>
    <xf numFmtId="0" fontId="0" fillId="0" borderId="48" xfId="0" applyFont="1" applyFill="1" applyBorder="1"/>
    <xf numFmtId="0" fontId="0" fillId="0" borderId="0" xfId="0" applyFont="1" applyFill="1" applyAlignment="1">
      <alignment horizontal="center"/>
    </xf>
    <xf numFmtId="9" fontId="0" fillId="0" borderId="0" xfId="71" applyFont="1" applyFill="1"/>
    <xf numFmtId="165" fontId="0" fillId="0" borderId="0" xfId="71" applyNumberFormat="1" applyFont="1" applyFill="1"/>
    <xf numFmtId="8" fontId="0" fillId="0" borderId="0" xfId="0" applyNumberFormat="1" applyFont="1" applyFill="1" applyBorder="1"/>
    <xf numFmtId="171" fontId="0" fillId="0" borderId="0" xfId="0" applyNumberFormat="1" applyFont="1" applyFill="1" applyBorder="1"/>
    <xf numFmtId="0" fontId="4" fillId="0" borderId="49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quotePrefix="1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15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16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3" fillId="0" borderId="14" xfId="0" applyFont="1" applyFill="1" applyBorder="1"/>
    <xf numFmtId="0" fontId="17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left"/>
    </xf>
    <xf numFmtId="0" fontId="2" fillId="0" borderId="0" xfId="0" applyFont="1" applyFill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6" fillId="0" borderId="9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67" fontId="0" fillId="0" borderId="23" xfId="0" applyNumberFormat="1" applyFill="1" applyBorder="1"/>
    <xf numFmtId="2" fontId="0" fillId="0" borderId="24" xfId="0" applyNumberFormat="1" applyFill="1" applyBorder="1"/>
    <xf numFmtId="167" fontId="0" fillId="0" borderId="21" xfId="0" applyNumberFormat="1" applyFill="1" applyBorder="1"/>
    <xf numFmtId="167" fontId="0" fillId="0" borderId="22" xfId="0" applyNumberFormat="1" applyFill="1" applyBorder="1"/>
    <xf numFmtId="0" fontId="17" fillId="0" borderId="20" xfId="0" applyFont="1" applyFill="1" applyBorder="1" applyAlignment="1">
      <alignment horizontal="center"/>
    </xf>
    <xf numFmtId="167" fontId="3" fillId="0" borderId="8" xfId="0" applyNumberFormat="1" applyFont="1" applyFill="1" applyBorder="1"/>
    <xf numFmtId="167" fontId="3" fillId="0" borderId="7" xfId="0" applyNumberFormat="1" applyFont="1" applyFill="1" applyBorder="1"/>
    <xf numFmtId="167" fontId="3" fillId="0" borderId="0" xfId="0" applyNumberFormat="1" applyFont="1" applyFill="1" applyBorder="1"/>
    <xf numFmtId="0" fontId="6" fillId="0" borderId="6" xfId="0" applyFont="1" applyFill="1" applyBorder="1"/>
    <xf numFmtId="167" fontId="6" fillId="0" borderId="0" xfId="0" applyNumberFormat="1" applyFont="1" applyFill="1" applyBorder="1"/>
    <xf numFmtId="167" fontId="6" fillId="0" borderId="5" xfId="0" applyNumberFormat="1" applyFont="1" applyFill="1" applyBorder="1"/>
    <xf numFmtId="167" fontId="3" fillId="0" borderId="5" xfId="0" applyNumberFormat="1" applyFont="1" applyFill="1" applyBorder="1"/>
    <xf numFmtId="0" fontId="6" fillId="0" borderId="4" xfId="0" applyFont="1" applyFill="1" applyBorder="1"/>
    <xf numFmtId="167" fontId="3" fillId="0" borderId="3" xfId="0" applyNumberFormat="1" applyFont="1" applyFill="1" applyBorder="1"/>
    <xf numFmtId="167" fontId="3" fillId="0" borderId="2" xfId="0" applyNumberFormat="1" applyFont="1" applyFill="1" applyBorder="1"/>
    <xf numFmtId="9" fontId="0" fillId="0" borderId="0" xfId="71" applyNumberFormat="1" applyFont="1" applyFill="1"/>
    <xf numFmtId="0" fontId="3" fillId="0" borderId="26" xfId="0" applyFont="1" applyFill="1" applyBorder="1"/>
    <xf numFmtId="0" fontId="15" fillId="0" borderId="27" xfId="0" applyFont="1" applyFill="1" applyBorder="1"/>
    <xf numFmtId="0" fontId="3" fillId="0" borderId="28" xfId="0" applyFont="1" applyFill="1" applyBorder="1"/>
    <xf numFmtId="0" fontId="22" fillId="0" borderId="0" xfId="0" applyFont="1" applyFill="1"/>
    <xf numFmtId="0" fontId="13" fillId="0" borderId="1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vertical="center"/>
    </xf>
    <xf numFmtId="9" fontId="0" fillId="0" borderId="50" xfId="71" applyFont="1" applyFill="1" applyBorder="1" applyAlignment="1">
      <alignment vertical="center"/>
    </xf>
    <xf numFmtId="9" fontId="0" fillId="0" borderId="51" xfId="71" applyFont="1" applyFill="1" applyBorder="1" applyAlignment="1">
      <alignment vertical="center"/>
    </xf>
    <xf numFmtId="169" fontId="0" fillId="0" borderId="0" xfId="0" applyNumberFormat="1" applyFont="1" applyFill="1" applyBorder="1"/>
    <xf numFmtId="0" fontId="0" fillId="0" borderId="36" xfId="0" applyNumberFormat="1" applyFont="1" applyFill="1" applyBorder="1"/>
    <xf numFmtId="169" fontId="0" fillId="0" borderId="36" xfId="0" applyNumberFormat="1" applyFont="1" applyFill="1" applyBorder="1"/>
    <xf numFmtId="169" fontId="0" fillId="0" borderId="50" xfId="0" applyNumberFormat="1" applyFont="1" applyFill="1" applyBorder="1"/>
    <xf numFmtId="169" fontId="0" fillId="0" borderId="51" xfId="0" applyNumberFormat="1" applyFont="1" applyFill="1" applyBorder="1"/>
    <xf numFmtId="0" fontId="0" fillId="0" borderId="47" xfId="0" applyFont="1" applyFill="1" applyBorder="1"/>
    <xf numFmtId="169" fontId="2" fillId="0" borderId="0" xfId="0" applyNumberFormat="1" applyFont="1" applyFill="1" applyBorder="1"/>
    <xf numFmtId="0" fontId="2" fillId="0" borderId="36" xfId="0" applyNumberFormat="1" applyFont="1" applyFill="1" applyBorder="1"/>
    <xf numFmtId="3" fontId="0" fillId="0" borderId="36" xfId="0" applyNumberFormat="1" applyFont="1" applyFill="1" applyBorder="1"/>
    <xf numFmtId="172" fontId="0" fillId="0" borderId="0" xfId="0" applyNumberFormat="1" applyFont="1" applyFill="1" applyBorder="1"/>
    <xf numFmtId="0" fontId="12" fillId="0" borderId="47" xfId="0" applyFont="1" applyFill="1" applyBorder="1"/>
    <xf numFmtId="0" fontId="0" fillId="0" borderId="47" xfId="0" applyFill="1" applyBorder="1"/>
    <xf numFmtId="0" fontId="0" fillId="0" borderId="48" xfId="0" applyFill="1" applyBorder="1"/>
    <xf numFmtId="0" fontId="2" fillId="0" borderId="29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44" fontId="0" fillId="0" borderId="0" xfId="0" applyNumberFormat="1" applyFill="1"/>
    <xf numFmtId="0" fontId="0" fillId="0" borderId="29" xfId="0" applyFill="1" applyBorder="1" applyAlignment="1">
      <alignment horizontal="center"/>
    </xf>
    <xf numFmtId="168" fontId="0" fillId="0" borderId="0" xfId="0" applyNumberFormat="1" applyFill="1" applyBorder="1"/>
    <xf numFmtId="168" fontId="0" fillId="0" borderId="35" xfId="0" applyNumberFormat="1" applyFill="1" applyBorder="1"/>
    <xf numFmtId="0" fontId="27" fillId="0" borderId="0" xfId="0" applyFont="1" applyFill="1"/>
    <xf numFmtId="0" fontId="28" fillId="0" borderId="0" xfId="0" applyFont="1" applyFill="1" applyAlignment="1"/>
    <xf numFmtId="0" fontId="0" fillId="0" borderId="0" xfId="0" applyFont="1" applyFill="1" applyBorder="1" applyAlignment="1">
      <alignment horizontal="left" wrapText="1"/>
    </xf>
    <xf numFmtId="6" fontId="0" fillId="0" borderId="3" xfId="0" applyNumberFormat="1" applyFont="1" applyFill="1" applyBorder="1"/>
    <xf numFmtId="44" fontId="0" fillId="0" borderId="63" xfId="0" applyNumberFormat="1" applyFill="1" applyBorder="1"/>
    <xf numFmtId="167" fontId="19" fillId="0" borderId="7" xfId="4" applyNumberFormat="1" applyFont="1" applyFill="1" applyBorder="1"/>
    <xf numFmtId="167" fontId="19" fillId="0" borderId="5" xfId="4" applyNumberFormat="1" applyFont="1" applyFill="1" applyBorder="1"/>
    <xf numFmtId="167" fontId="19" fillId="0" borderId="2" xfId="4" applyNumberFormat="1" applyFont="1" applyFill="1" applyBorder="1"/>
    <xf numFmtId="0" fontId="2" fillId="0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0" fontId="30" fillId="0" borderId="3" xfId="0" applyFont="1" applyBorder="1"/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 wrapText="1"/>
    </xf>
    <xf numFmtId="6" fontId="30" fillId="0" borderId="0" xfId="0" applyNumberFormat="1" applyFont="1"/>
    <xf numFmtId="6" fontId="30" fillId="0" borderId="5" xfId="0" applyNumberFormat="1" applyFont="1" applyBorder="1"/>
    <xf numFmtId="0" fontId="32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6" fontId="34" fillId="0" borderId="0" xfId="0" applyNumberFormat="1" applyFont="1"/>
    <xf numFmtId="0" fontId="35" fillId="0" borderId="0" xfId="0" applyFont="1"/>
    <xf numFmtId="6" fontId="35" fillId="0" borderId="0" xfId="0" applyNumberFormat="1" applyFont="1"/>
    <xf numFmtId="0" fontId="28" fillId="0" borderId="0" xfId="0" applyFont="1" applyFill="1"/>
    <xf numFmtId="167" fontId="1" fillId="0" borderId="0" xfId="0" applyNumberFormat="1" applyFont="1" applyFill="1"/>
    <xf numFmtId="0" fontId="19" fillId="0" borderId="9" xfId="4" applyFont="1" applyFill="1" applyBorder="1" applyAlignment="1">
      <alignment horizontal="center"/>
    </xf>
    <xf numFmtId="8" fontId="30" fillId="0" borderId="0" xfId="0" applyNumberFormat="1" applyFont="1"/>
    <xf numFmtId="0" fontId="33" fillId="0" borderId="4" xfId="0" applyFont="1" applyBorder="1" applyAlignment="1">
      <alignment horizontal="left"/>
    </xf>
    <xf numFmtId="6" fontId="33" fillId="0" borderId="0" xfId="0" applyNumberFormat="1" applyFont="1"/>
    <xf numFmtId="0" fontId="36" fillId="0" borderId="0" xfId="0" applyFont="1"/>
    <xf numFmtId="0" fontId="38" fillId="0" borderId="0" xfId="0" applyFont="1"/>
    <xf numFmtId="6" fontId="38" fillId="0" borderId="0" xfId="0" applyNumberFormat="1" applyFont="1"/>
    <xf numFmtId="0" fontId="2" fillId="0" borderId="49" xfId="0" applyFont="1" applyFill="1" applyBorder="1"/>
    <xf numFmtId="165" fontId="0" fillId="0" borderId="15" xfId="70" applyNumberFormat="1" applyFont="1" applyFill="1" applyBorder="1"/>
    <xf numFmtId="165" fontId="0" fillId="0" borderId="0" xfId="0" applyNumberFormat="1" applyFont="1" applyFill="1" applyBorder="1"/>
    <xf numFmtId="165" fontId="0" fillId="0" borderId="15" xfId="0" applyNumberFormat="1" applyFont="1" applyFill="1" applyBorder="1"/>
    <xf numFmtId="0" fontId="0" fillId="0" borderId="44" xfId="0" applyFont="1" applyFill="1" applyBorder="1" applyAlignment="1">
      <alignment horizontal="right"/>
    </xf>
    <xf numFmtId="0" fontId="0" fillId="0" borderId="44" xfId="0" applyFont="1" applyFill="1" applyBorder="1"/>
    <xf numFmtId="165" fontId="0" fillId="0" borderId="44" xfId="0" applyNumberFormat="1" applyFont="1" applyFill="1" applyBorder="1"/>
    <xf numFmtId="0" fontId="0" fillId="0" borderId="29" xfId="0" applyFont="1" applyFill="1" applyBorder="1" applyAlignment="1">
      <alignment horizontal="center"/>
    </xf>
    <xf numFmtId="165" fontId="0" fillId="0" borderId="55" xfId="70" applyNumberFormat="1" applyFont="1" applyFill="1" applyBorder="1"/>
    <xf numFmtId="0" fontId="0" fillId="0" borderId="79" xfId="0" applyFont="1" applyFill="1" applyBorder="1"/>
    <xf numFmtId="0" fontId="0" fillId="0" borderId="80" xfId="0" applyFont="1" applyFill="1" applyBorder="1"/>
    <xf numFmtId="0" fontId="40" fillId="0" borderId="42" xfId="0" applyFont="1" applyFill="1" applyBorder="1"/>
    <xf numFmtId="165" fontId="40" fillId="0" borderId="42" xfId="0" applyNumberFormat="1" applyFont="1" applyFill="1" applyBorder="1"/>
    <xf numFmtId="0" fontId="4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6" fontId="42" fillId="0" borderId="36" xfId="0" applyNumberFormat="1" applyFont="1" applyFill="1" applyBorder="1"/>
    <xf numFmtId="6" fontId="42" fillId="0" borderId="55" xfId="0" applyNumberFormat="1" applyFont="1" applyFill="1" applyBorder="1"/>
    <xf numFmtId="165" fontId="43" fillId="0" borderId="51" xfId="70" applyNumberFormat="1" applyFont="1" applyFill="1" applyBorder="1"/>
    <xf numFmtId="165" fontId="42" fillId="0" borderId="0" xfId="0" applyNumberFormat="1" applyFont="1" applyFill="1"/>
    <xf numFmtId="0" fontId="0" fillId="0" borderId="0" xfId="0" applyFont="1" applyFill="1" applyAlignment="1">
      <alignment horizontal="right"/>
    </xf>
    <xf numFmtId="164" fontId="0" fillId="0" borderId="54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8" fontId="0" fillId="0" borderId="54" xfId="0" applyNumberFormat="1" applyFill="1" applyBorder="1"/>
    <xf numFmtId="168" fontId="0" fillId="0" borderId="3" xfId="0" applyNumberFormat="1" applyFill="1" applyBorder="1"/>
    <xf numFmtId="164" fontId="0" fillId="0" borderId="54" xfId="0" applyNumberFormat="1" applyFill="1" applyBorder="1"/>
    <xf numFmtId="165" fontId="0" fillId="0" borderId="54" xfId="0" applyNumberFormat="1" applyFill="1" applyBorder="1"/>
    <xf numFmtId="165" fontId="0" fillId="0" borderId="54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54" xfId="70" applyNumberFormat="1" applyFont="1" applyFill="1" applyBorder="1"/>
    <xf numFmtId="165" fontId="0" fillId="0" borderId="3" xfId="70" applyNumberFormat="1" applyFont="1" applyFill="1" applyBorder="1"/>
    <xf numFmtId="42" fontId="0" fillId="0" borderId="67" xfId="0" applyNumberFormat="1" applyFill="1" applyBorder="1" applyAlignment="1">
      <alignment horizontal="center"/>
    </xf>
    <xf numFmtId="165" fontId="0" fillId="0" borderId="67" xfId="0" applyNumberFormat="1" applyFill="1" applyBorder="1"/>
    <xf numFmtId="0" fontId="2" fillId="0" borderId="54" xfId="0" applyFont="1" applyFill="1" applyBorder="1" applyAlignment="1">
      <alignment horizontal="center"/>
    </xf>
    <xf numFmtId="164" fontId="0" fillId="0" borderId="3" xfId="1" applyNumberFormat="1" applyFont="1" applyFill="1" applyBorder="1"/>
    <xf numFmtId="164" fontId="0" fillId="0" borderId="55" xfId="1" applyNumberFormat="1" applyFont="1" applyFill="1" applyBorder="1"/>
    <xf numFmtId="3" fontId="0" fillId="0" borderId="3" xfId="0" applyNumberFormat="1" applyFont="1" applyFill="1" applyBorder="1"/>
    <xf numFmtId="164" fontId="0" fillId="0" borderId="3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164" fontId="0" fillId="0" borderId="3" xfId="0" applyNumberFormat="1" applyFont="1" applyFill="1" applyBorder="1"/>
    <xf numFmtId="0" fontId="2" fillId="0" borderId="43" xfId="0" applyFont="1" applyFill="1" applyBorder="1" applyAlignment="1">
      <alignment horizontal="center"/>
    </xf>
    <xf numFmtId="165" fontId="2" fillId="0" borderId="44" xfId="0" applyNumberFormat="1" applyFont="1" applyFill="1" applyBorder="1"/>
    <xf numFmtId="165" fontId="2" fillId="0" borderId="45" xfId="0" applyNumberFormat="1" applyFont="1" applyFill="1" applyBorder="1"/>
    <xf numFmtId="177" fontId="0" fillId="0" borderId="0" xfId="0" quotePrefix="1" applyNumberFormat="1" applyFont="1" applyFill="1" applyBorder="1"/>
    <xf numFmtId="178" fontId="0" fillId="0" borderId="50" xfId="70" applyNumberFormat="1" applyFont="1" applyFill="1" applyBorder="1" applyAlignment="1">
      <alignment horizontal="right"/>
    </xf>
    <xf numFmtId="0" fontId="30" fillId="0" borderId="37" xfId="0" applyFont="1" applyBorder="1"/>
    <xf numFmtId="0" fontId="33" fillId="0" borderId="39" xfId="0" applyFont="1" applyBorder="1" applyAlignment="1">
      <alignment horizontal="center"/>
    </xf>
    <xf numFmtId="0" fontId="33" fillId="0" borderId="59" xfId="0" applyFont="1" applyBorder="1"/>
    <xf numFmtId="165" fontId="30" fillId="0" borderId="60" xfId="0" applyNumberFormat="1" applyFont="1" applyBorder="1"/>
    <xf numFmtId="165" fontId="30" fillId="0" borderId="0" xfId="0" applyNumberFormat="1" applyFont="1"/>
    <xf numFmtId="0" fontId="33" fillId="0" borderId="61" xfId="0" applyFont="1" applyBorder="1"/>
    <xf numFmtId="0" fontId="44" fillId="4" borderId="15" xfId="0" applyFont="1" applyFill="1" applyBorder="1" applyAlignment="1">
      <alignment horizontal="center" vertical="center" wrapText="1"/>
    </xf>
    <xf numFmtId="0" fontId="45" fillId="0" borderId="15" xfId="0" applyFont="1" applyBorder="1"/>
    <xf numFmtId="0" fontId="30" fillId="0" borderId="81" xfId="0" applyFont="1" applyBorder="1" applyAlignment="1"/>
    <xf numFmtId="0" fontId="30" fillId="0" borderId="70" xfId="0" applyFont="1" applyBorder="1" applyAlignment="1"/>
    <xf numFmtId="0" fontId="30" fillId="0" borderId="15" xfId="0" applyFont="1" applyBorder="1" applyAlignment="1">
      <alignment horizontal="left" indent="1"/>
    </xf>
    <xf numFmtId="176" fontId="30" fillId="0" borderId="15" xfId="0" applyNumberFormat="1" applyFont="1" applyBorder="1"/>
    <xf numFmtId="0" fontId="30" fillId="0" borderId="15" xfId="0" applyFont="1" applyBorder="1"/>
    <xf numFmtId="0" fontId="37" fillId="0" borderId="15" xfId="0" applyFont="1" applyBorder="1"/>
    <xf numFmtId="176" fontId="33" fillId="0" borderId="15" xfId="0" applyNumberFormat="1" applyFont="1" applyBorder="1"/>
    <xf numFmtId="0" fontId="30" fillId="0" borderId="15" xfId="0" applyFont="1" applyBorder="1" applyAlignment="1">
      <alignment horizontal="right"/>
    </xf>
    <xf numFmtId="0" fontId="33" fillId="0" borderId="15" xfId="0" applyFont="1" applyBorder="1"/>
    <xf numFmtId="0" fontId="37" fillId="0" borderId="0" xfId="0" applyFont="1" applyAlignment="1">
      <alignment vertical="center"/>
    </xf>
    <xf numFmtId="164" fontId="47" fillId="0" borderId="0" xfId="1" applyNumberFormat="1" applyFont="1"/>
    <xf numFmtId="0" fontId="0" fillId="0" borderId="3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71" fontId="2" fillId="0" borderId="69" xfId="0" applyNumberFormat="1" applyFont="1" applyFill="1" applyBorder="1" applyAlignment="1">
      <alignment horizontal="center"/>
    </xf>
    <xf numFmtId="6" fontId="2" fillId="0" borderId="69" xfId="0" applyNumberFormat="1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9" xfId="0" applyFont="1" applyFill="1" applyBorder="1" applyAlignment="1">
      <alignment horizontal="center" wrapText="1"/>
    </xf>
    <xf numFmtId="0" fontId="48" fillId="0" borderId="0" xfId="0" applyFont="1"/>
    <xf numFmtId="0" fontId="0" fillId="0" borderId="43" xfId="0" applyFill="1" applyBorder="1" applyAlignment="1">
      <alignment horizontal="center"/>
    </xf>
    <xf numFmtId="165" fontId="0" fillId="0" borderId="25" xfId="0" applyNumberFormat="1" applyFill="1" applyBorder="1"/>
    <xf numFmtId="0" fontId="0" fillId="0" borderId="37" xfId="0" applyFill="1" applyBorder="1" applyAlignment="1">
      <alignment horizontal="center" vertical="center" wrapText="1"/>
    </xf>
    <xf numFmtId="165" fontId="0" fillId="0" borderId="59" xfId="0" applyNumberFormat="1" applyFill="1" applyBorder="1"/>
    <xf numFmtId="165" fontId="0" fillId="0" borderId="83" xfId="0" applyNumberFormat="1" applyFill="1" applyBorder="1"/>
    <xf numFmtId="165" fontId="0" fillId="0" borderId="84" xfId="0" applyNumberFormat="1" applyFill="1" applyBorder="1"/>
    <xf numFmtId="175" fontId="0" fillId="0" borderId="0" xfId="0" applyNumberFormat="1" applyFill="1"/>
    <xf numFmtId="165" fontId="0" fillId="0" borderId="77" xfId="0" applyNumberFormat="1" applyFill="1" applyBorder="1"/>
    <xf numFmtId="165" fontId="49" fillId="0" borderId="63" xfId="0" applyNumberFormat="1" applyFont="1" applyFill="1" applyBorder="1"/>
    <xf numFmtId="0" fontId="0" fillId="0" borderId="76" xfId="0" applyFill="1" applyBorder="1" applyAlignment="1">
      <alignment horizontal="center" vertical="center" wrapText="1"/>
    </xf>
    <xf numFmtId="165" fontId="0" fillId="0" borderId="45" xfId="0" applyNumberFormat="1" applyFont="1" applyFill="1" applyBorder="1"/>
    <xf numFmtId="164" fontId="0" fillId="0" borderId="25" xfId="0" applyNumberFormat="1" applyFill="1" applyBorder="1" applyAlignment="1">
      <alignment horizontal="center"/>
    </xf>
    <xf numFmtId="8" fontId="0" fillId="0" borderId="0" xfId="70" applyNumberFormat="1" applyFont="1" applyFill="1" applyBorder="1"/>
    <xf numFmtId="180" fontId="0" fillId="0" borderId="0" xfId="0" applyNumberFormat="1" applyFont="1" applyFill="1" applyBorder="1"/>
    <xf numFmtId="181" fontId="0" fillId="0" borderId="0" xfId="0" applyNumberFormat="1" applyFont="1" applyFill="1" applyBorder="1"/>
    <xf numFmtId="0" fontId="4" fillId="0" borderId="0" xfId="0" applyFont="1" applyFill="1" applyBorder="1"/>
    <xf numFmtId="0" fontId="0" fillId="0" borderId="5" xfId="0" applyFont="1" applyFill="1" applyBorder="1"/>
    <xf numFmtId="168" fontId="30" fillId="0" borderId="60" xfId="1" applyNumberFormat="1" applyFont="1" applyBorder="1"/>
    <xf numFmtId="175" fontId="30" fillId="0" borderId="62" xfId="71" applyNumberFormat="1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65" fontId="30" fillId="0" borderId="36" xfId="0" applyNumberFormat="1" applyFont="1" applyBorder="1"/>
    <xf numFmtId="168" fontId="30" fillId="0" borderId="36" xfId="1" applyNumberFormat="1" applyFont="1" applyBorder="1"/>
    <xf numFmtId="175" fontId="30" fillId="0" borderId="51" xfId="71" applyNumberFormat="1" applyFont="1" applyBorder="1" applyAlignment="1">
      <alignment horizontal="center"/>
    </xf>
    <xf numFmtId="0" fontId="30" fillId="0" borderId="59" xfId="0" applyFont="1" applyBorder="1"/>
    <xf numFmtId="165" fontId="30" fillId="0" borderId="59" xfId="0" applyNumberFormat="1" applyFont="1" applyBorder="1"/>
    <xf numFmtId="0" fontId="30" fillId="0" borderId="59" xfId="0" applyFont="1" applyBorder="1" applyAlignment="1">
      <alignment horizontal="center"/>
    </xf>
    <xf numFmtId="0" fontId="24" fillId="0" borderId="29" xfId="0" applyFont="1" applyFill="1" applyBorder="1"/>
    <xf numFmtId="0" fontId="0" fillId="0" borderId="30" xfId="0" applyFont="1" applyBorder="1"/>
    <xf numFmtId="0" fontId="0" fillId="0" borderId="31" xfId="0" applyFont="1" applyBorder="1"/>
    <xf numFmtId="165" fontId="51" fillId="0" borderId="44" xfId="0" applyNumberFormat="1" applyFont="1" applyFill="1" applyBorder="1"/>
    <xf numFmtId="165" fontId="51" fillId="0" borderId="45" xfId="0" applyNumberFormat="1" applyFont="1" applyFill="1" applyBorder="1"/>
    <xf numFmtId="0" fontId="0" fillId="0" borderId="49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50" fillId="0" borderId="50" xfId="0" applyFont="1" applyBorder="1" applyAlignment="1">
      <alignment horizontal="center"/>
    </xf>
    <xf numFmtId="0" fontId="44" fillId="4" borderId="42" xfId="0" applyFont="1" applyFill="1" applyBorder="1" applyAlignment="1">
      <alignment horizontal="center" vertical="center" wrapText="1"/>
    </xf>
    <xf numFmtId="0" fontId="44" fillId="4" borderId="25" xfId="0" applyFont="1" applyFill="1" applyBorder="1" applyAlignment="1">
      <alignment horizontal="center" vertical="center" wrapText="1"/>
    </xf>
    <xf numFmtId="0" fontId="44" fillId="4" borderId="81" xfId="0" applyFont="1" applyFill="1" applyBorder="1" applyAlignment="1">
      <alignment horizontal="center" vertical="center" wrapText="1"/>
    </xf>
    <xf numFmtId="0" fontId="44" fillId="4" borderId="70" xfId="0" applyFont="1" applyFill="1" applyBorder="1" applyAlignment="1">
      <alignment horizontal="center" vertical="center" wrapText="1"/>
    </xf>
    <xf numFmtId="0" fontId="45" fillId="0" borderId="81" xfId="0" applyFont="1" applyBorder="1" applyAlignment="1">
      <alignment horizontal="left"/>
    </xf>
    <xf numFmtId="0" fontId="45" fillId="0" borderId="82" xfId="0" applyFont="1" applyBorder="1" applyAlignment="1">
      <alignment horizontal="left"/>
    </xf>
    <xf numFmtId="0" fontId="45" fillId="0" borderId="70" xfId="0" applyFont="1" applyBorder="1" applyAlignment="1">
      <alignment horizontal="left"/>
    </xf>
    <xf numFmtId="0" fontId="46" fillId="0" borderId="8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179" fontId="33" fillId="0" borderId="81" xfId="0" applyNumberFormat="1" applyFont="1" applyBorder="1" applyAlignment="1">
      <alignment horizontal="center"/>
    </xf>
    <xf numFmtId="179" fontId="33" fillId="0" borderId="70" xfId="0" applyNumberFormat="1" applyFont="1" applyBorder="1" applyAlignment="1">
      <alignment horizontal="center"/>
    </xf>
    <xf numFmtId="175" fontId="33" fillId="0" borderId="81" xfId="71" applyNumberFormat="1" applyFont="1" applyFill="1" applyBorder="1" applyAlignment="1">
      <alignment horizontal="center"/>
    </xf>
    <xf numFmtId="175" fontId="33" fillId="0" borderId="70" xfId="71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5" fillId="0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2" fontId="30" fillId="0" borderId="0" xfId="0" applyNumberFormat="1" applyFont="1"/>
    <xf numFmtId="165" fontId="4" fillId="0" borderId="44" xfId="0" applyNumberFormat="1" applyFont="1" applyFill="1" applyBorder="1"/>
    <xf numFmtId="165" fontId="4" fillId="0" borderId="45" xfId="0" applyNumberFormat="1" applyFont="1" applyFill="1" applyBorder="1"/>
  </cellXfs>
  <cellStyles count="72">
    <cellStyle name="Bad 2" xfId="5"/>
    <cellStyle name="Comma" xfId="1" builtinId="3"/>
    <cellStyle name="Comma 2" xfId="6"/>
    <cellStyle name="Comma 3" xfId="7"/>
    <cellStyle name="Comma 4" xfId="8"/>
    <cellStyle name="Comma 5" xfId="9"/>
    <cellStyle name="Comma 6" xfId="10"/>
    <cellStyle name="Currency" xfId="70" builtinId="4"/>
    <cellStyle name="Currency 2" xfId="3"/>
    <cellStyle name="Currency 2 10" xfId="11"/>
    <cellStyle name="Currency 2 11" xfId="12"/>
    <cellStyle name="Currency 2 12" xfId="13"/>
    <cellStyle name="Currency 2 13" xfId="14"/>
    <cellStyle name="Currency 2 14" xfId="15"/>
    <cellStyle name="Currency 2 15" xfId="16"/>
    <cellStyle name="Currency 2 16" xfId="17"/>
    <cellStyle name="Currency 2 17" xfId="18"/>
    <cellStyle name="Currency 2 2" xfId="19"/>
    <cellStyle name="Currency 2 3" xfId="20"/>
    <cellStyle name="Currency 2 4" xfId="21"/>
    <cellStyle name="Currency 2 5" xfId="22"/>
    <cellStyle name="Currency 2 6" xfId="23"/>
    <cellStyle name="Currency 2 7" xfId="24"/>
    <cellStyle name="Currency 2 8" xfId="25"/>
    <cellStyle name="Currency 2 9" xfId="26"/>
    <cellStyle name="Currency 3" xfId="27"/>
    <cellStyle name="Currency 4" xfId="28"/>
    <cellStyle name="Input 2" xfId="29"/>
    <cellStyle name="Normal" xfId="0" builtinId="0"/>
    <cellStyle name="Normal 2" xfId="30"/>
    <cellStyle name="Normal 2 10" xfId="4"/>
    <cellStyle name="Normal 2 11" xfId="31"/>
    <cellStyle name="Normal 2 12" xfId="32"/>
    <cellStyle name="Normal 2 13" xfId="33"/>
    <cellStyle name="Normal 2 14" xfId="34"/>
    <cellStyle name="Normal 2 15" xfId="35"/>
    <cellStyle name="Normal 2 16" xfId="36"/>
    <cellStyle name="Normal 2 17" xfId="37"/>
    <cellStyle name="Normal 2 2" xfId="38"/>
    <cellStyle name="Normal 2 3" xfId="39"/>
    <cellStyle name="Normal 2 4" xfId="40"/>
    <cellStyle name="Normal 2 5" xfId="41"/>
    <cellStyle name="Normal 2 6" xfId="42"/>
    <cellStyle name="Normal 2 7" xfId="43"/>
    <cellStyle name="Normal 2 8" xfId="44"/>
    <cellStyle name="Normal 2 9" xfId="45"/>
    <cellStyle name="Normal 3" xfId="2"/>
    <cellStyle name="Normal 3 10" xfId="46"/>
    <cellStyle name="Normal 3 11" xfId="47"/>
    <cellStyle name="Normal 3 12" xfId="48"/>
    <cellStyle name="Normal 3 13" xfId="49"/>
    <cellStyle name="Normal 3 14" xfId="50"/>
    <cellStyle name="Normal 3 15" xfId="51"/>
    <cellStyle name="Normal 3 16" xfId="52"/>
    <cellStyle name="Normal 3 2" xfId="53"/>
    <cellStyle name="Normal 3 3" xfId="54"/>
    <cellStyle name="Normal 3 4" xfId="55"/>
    <cellStyle name="Normal 3 5" xfId="56"/>
    <cellStyle name="Normal 3 6" xfId="57"/>
    <cellStyle name="Normal 3 7" xfId="58"/>
    <cellStyle name="Normal 3 8" xfId="59"/>
    <cellStyle name="Normal 3 9" xfId="60"/>
    <cellStyle name="Normal 4" xfId="61"/>
    <cellStyle name="Normal 5" xfId="62"/>
    <cellStyle name="Normal 6" xfId="63"/>
    <cellStyle name="Normal 7" xfId="64"/>
    <cellStyle name="Percent" xfId="71" builtinId="5"/>
    <cellStyle name="Percent 2" xfId="65"/>
    <cellStyle name="Percent 3" xfId="66"/>
    <cellStyle name="Percent 4" xfId="67"/>
    <cellStyle name="Percent 5" xfId="68"/>
    <cellStyle name="Percent 6" xfId="69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2"/>
  <sheetViews>
    <sheetView zoomScale="70" zoomScaleNormal="70" workbookViewId="0">
      <selection activeCell="B2" sqref="B2"/>
    </sheetView>
  </sheetViews>
  <sheetFormatPr defaultColWidth="9.140625" defaultRowHeight="15" x14ac:dyDescent="0.25"/>
  <cols>
    <col min="1" max="1" width="2.85546875" style="65" customWidth="1"/>
    <col min="2" max="2" width="36.42578125" style="65" customWidth="1"/>
    <col min="3" max="3" width="18.42578125" style="65" customWidth="1"/>
    <col min="4" max="4" width="24.5703125" style="65" customWidth="1"/>
    <col min="5" max="5" width="20.5703125" style="65" customWidth="1"/>
    <col min="6" max="6" width="18" style="65" bestFit="1" customWidth="1"/>
    <col min="7" max="11" width="9.140625" style="65"/>
    <col min="12" max="12" width="36.5703125" style="65" customWidth="1"/>
    <col min="13" max="13" width="15.28515625" style="65" customWidth="1"/>
    <col min="14" max="14" width="18.5703125" style="65" customWidth="1"/>
    <col min="15" max="15" width="21" style="65" customWidth="1"/>
    <col min="16" max="16" width="20.140625" style="65" customWidth="1"/>
    <col min="17" max="16384" width="9.140625" style="65"/>
  </cols>
  <sheetData>
    <row r="1" spans="2:20" ht="15.75" thickBot="1" x14ac:dyDescent="0.3"/>
    <row r="2" spans="2:20" ht="26.25" customHeight="1" thickBot="1" x14ac:dyDescent="0.35">
      <c r="B2" s="21" t="s">
        <v>312</v>
      </c>
      <c r="C2" s="66"/>
      <c r="D2" s="66"/>
      <c r="E2" s="66"/>
      <c r="F2" s="66"/>
      <c r="G2" s="66"/>
      <c r="H2" s="66"/>
      <c r="I2" s="66"/>
      <c r="J2" s="67"/>
      <c r="L2" s="21" t="s">
        <v>96</v>
      </c>
      <c r="M2" s="66"/>
      <c r="N2" s="66"/>
      <c r="O2" s="66"/>
      <c r="P2" s="66"/>
      <c r="Q2" s="66"/>
      <c r="R2" s="66"/>
      <c r="S2" s="66"/>
      <c r="T2" s="67"/>
    </row>
    <row r="3" spans="2:20" ht="19.5" thickTop="1" x14ac:dyDescent="0.3">
      <c r="B3" s="22" t="s">
        <v>0</v>
      </c>
      <c r="C3" s="68"/>
      <c r="D3" s="68"/>
      <c r="E3" s="68"/>
      <c r="F3" s="68"/>
      <c r="G3" s="68"/>
      <c r="H3" s="68"/>
      <c r="I3" s="68"/>
      <c r="J3" s="69"/>
      <c r="L3" s="22" t="s">
        <v>91</v>
      </c>
      <c r="M3" s="68"/>
      <c r="N3" s="68"/>
      <c r="O3" s="68"/>
      <c r="P3" s="68"/>
      <c r="Q3" s="68"/>
      <c r="R3" s="68"/>
      <c r="S3" s="68"/>
      <c r="T3" s="69"/>
    </row>
    <row r="4" spans="2:20" ht="18.75" x14ac:dyDescent="0.3">
      <c r="B4" s="23"/>
      <c r="C4" s="68"/>
      <c r="D4" s="68"/>
      <c r="E4" s="68"/>
      <c r="F4" s="68"/>
      <c r="G4" s="68"/>
      <c r="H4" s="68"/>
      <c r="I4" s="68"/>
      <c r="J4" s="69"/>
      <c r="L4" s="22"/>
      <c r="M4" s="68"/>
      <c r="N4" s="68"/>
      <c r="O4" s="68"/>
      <c r="P4" s="68"/>
      <c r="Q4" s="68"/>
      <c r="R4" s="68"/>
      <c r="S4" s="68"/>
      <c r="T4" s="69"/>
    </row>
    <row r="5" spans="2:20" x14ac:dyDescent="0.25">
      <c r="B5" s="221" t="s">
        <v>25</v>
      </c>
      <c r="C5" s="68" t="s">
        <v>5</v>
      </c>
      <c r="D5" s="68" t="s">
        <v>6</v>
      </c>
      <c r="E5" s="93" t="s">
        <v>8</v>
      </c>
      <c r="F5" s="68"/>
      <c r="G5" s="68"/>
      <c r="H5" s="68"/>
      <c r="I5" s="68"/>
      <c r="J5" s="69"/>
      <c r="L5" s="23" t="s">
        <v>98</v>
      </c>
      <c r="M5" s="93" t="s">
        <v>427</v>
      </c>
      <c r="N5" s="93" t="s">
        <v>6</v>
      </c>
      <c r="O5" s="93" t="s">
        <v>427</v>
      </c>
      <c r="P5" s="93" t="s">
        <v>6</v>
      </c>
      <c r="Q5" s="68"/>
      <c r="R5" s="68"/>
      <c r="S5" s="68"/>
      <c r="T5" s="69"/>
    </row>
    <row r="6" spans="2:20" ht="31.5" customHeight="1" x14ac:dyDescent="0.25">
      <c r="B6" s="23"/>
      <c r="C6" s="222">
        <v>9600000</v>
      </c>
      <c r="D6" s="68" t="s">
        <v>7</v>
      </c>
      <c r="E6" s="400">
        <v>2017</v>
      </c>
      <c r="F6" s="68"/>
      <c r="G6" s="68"/>
      <c r="H6" s="68"/>
      <c r="I6" s="68"/>
      <c r="J6" s="69"/>
      <c r="L6" s="23"/>
      <c r="M6" s="443">
        <f>(0.0074+0.0096)/2</f>
        <v>8.5000000000000006E-3</v>
      </c>
      <c r="N6" s="68" t="s">
        <v>93</v>
      </c>
      <c r="O6" s="444">
        <f>(0.0005+0.0006)/2</f>
        <v>5.4999999999999992E-4</v>
      </c>
      <c r="P6" s="68" t="s">
        <v>135</v>
      </c>
      <c r="Q6" s="68"/>
      <c r="R6" s="68"/>
      <c r="S6" s="68"/>
      <c r="T6" s="69"/>
    </row>
    <row r="7" spans="2:20" x14ac:dyDescent="0.25">
      <c r="B7" s="23"/>
      <c r="C7" s="68"/>
      <c r="D7" s="68"/>
      <c r="E7" s="68"/>
      <c r="F7" s="68"/>
      <c r="G7" s="68"/>
      <c r="H7" s="68"/>
      <c r="I7" s="68"/>
      <c r="J7" s="69"/>
      <c r="L7" s="11" t="s">
        <v>46</v>
      </c>
      <c r="M7" s="464" t="s">
        <v>56</v>
      </c>
      <c r="N7" s="464"/>
      <c r="O7" s="464"/>
      <c r="P7" s="464"/>
      <c r="Q7" s="464"/>
      <c r="R7" s="464"/>
      <c r="S7" s="464"/>
      <c r="T7" s="465"/>
    </row>
    <row r="8" spans="2:20" x14ac:dyDescent="0.25">
      <c r="B8" s="221" t="s">
        <v>9</v>
      </c>
      <c r="C8" s="68" t="s">
        <v>12</v>
      </c>
      <c r="D8" s="68" t="s">
        <v>13</v>
      </c>
      <c r="E8" s="68" t="s">
        <v>14</v>
      </c>
      <c r="F8" s="68" t="s">
        <v>314</v>
      </c>
      <c r="G8" s="68"/>
      <c r="H8" s="68"/>
      <c r="I8" s="68"/>
      <c r="J8" s="69"/>
      <c r="L8" s="70"/>
      <c r="M8" s="71"/>
      <c r="N8" s="71"/>
      <c r="O8" s="71"/>
      <c r="P8" s="71"/>
      <c r="Q8" s="71"/>
      <c r="R8" s="71"/>
      <c r="S8" s="71"/>
      <c r="T8" s="72"/>
    </row>
    <row r="9" spans="2:20" ht="18.75" x14ac:dyDescent="0.3">
      <c r="B9" s="23"/>
      <c r="C9" s="68" t="s">
        <v>10</v>
      </c>
      <c r="D9" s="68" t="s">
        <v>19</v>
      </c>
      <c r="E9" s="68">
        <v>3.0000000000000001E-3</v>
      </c>
      <c r="F9" s="222">
        <v>28800</v>
      </c>
      <c r="G9" s="68"/>
      <c r="H9" s="68"/>
      <c r="I9" s="68"/>
      <c r="J9" s="69"/>
      <c r="L9" s="22" t="s">
        <v>92</v>
      </c>
      <c r="M9" s="68"/>
      <c r="N9" s="68"/>
      <c r="O9" s="68"/>
      <c r="P9" s="68"/>
      <c r="Q9" s="68"/>
      <c r="R9" s="68"/>
      <c r="S9" s="68"/>
      <c r="T9" s="69"/>
    </row>
    <row r="10" spans="2:20" ht="18.75" x14ac:dyDescent="0.3">
      <c r="B10" s="23"/>
      <c r="C10" s="68" t="s">
        <v>11</v>
      </c>
      <c r="D10" s="68" t="s">
        <v>20</v>
      </c>
      <c r="E10" s="68">
        <v>4.7E-2</v>
      </c>
      <c r="F10" s="222">
        <v>451200</v>
      </c>
      <c r="G10" s="68"/>
      <c r="H10" s="68"/>
      <c r="I10" s="68"/>
      <c r="J10" s="69"/>
      <c r="L10" s="22"/>
      <c r="M10" s="68"/>
      <c r="N10" s="68"/>
      <c r="O10" s="68"/>
      <c r="P10" s="68"/>
      <c r="Q10" s="68"/>
      <c r="R10" s="68"/>
      <c r="S10" s="68"/>
      <c r="T10" s="69"/>
    </row>
    <row r="11" spans="2:20" ht="25.5" customHeight="1" x14ac:dyDescent="0.25">
      <c r="B11" s="23"/>
      <c r="C11" s="68" t="s">
        <v>15</v>
      </c>
      <c r="D11" s="68" t="s">
        <v>21</v>
      </c>
      <c r="E11" s="68">
        <v>0.105</v>
      </c>
      <c r="F11" s="222">
        <v>1008000</v>
      </c>
      <c r="G11" s="68"/>
      <c r="H11" s="68"/>
      <c r="I11" s="68"/>
      <c r="J11" s="69"/>
      <c r="L11" s="23"/>
      <c r="M11" s="93" t="s">
        <v>426</v>
      </c>
      <c r="N11" s="93" t="s">
        <v>6</v>
      </c>
      <c r="O11" s="68"/>
      <c r="P11" s="68"/>
      <c r="Q11" s="68"/>
      <c r="R11" s="68"/>
      <c r="S11" s="68"/>
      <c r="T11" s="69"/>
    </row>
    <row r="12" spans="2:20" ht="15" customHeight="1" x14ac:dyDescent="0.25">
      <c r="B12" s="23"/>
      <c r="C12" s="68" t="s">
        <v>16</v>
      </c>
      <c r="D12" s="68" t="s">
        <v>22</v>
      </c>
      <c r="E12" s="68">
        <v>0.26600000000000001</v>
      </c>
      <c r="F12" s="222">
        <v>2553600</v>
      </c>
      <c r="G12" s="68"/>
      <c r="H12" s="68"/>
      <c r="I12" s="68"/>
      <c r="J12" s="69"/>
      <c r="L12" s="23" t="s">
        <v>99</v>
      </c>
      <c r="M12" s="442">
        <f>D34</f>
        <v>0.9</v>
      </c>
      <c r="N12" s="446" t="s">
        <v>94</v>
      </c>
      <c r="O12" s="445" t="s">
        <v>46</v>
      </c>
      <c r="P12" s="466" t="str">
        <f>B2</f>
        <v>Benefit-Cost Analysis Guidance for Discretionary Grant Programs - June 2018</v>
      </c>
      <c r="Q12" s="466"/>
      <c r="R12" s="466"/>
      <c r="S12" s="466"/>
      <c r="T12" s="467"/>
    </row>
    <row r="13" spans="2:20" x14ac:dyDescent="0.25">
      <c r="B13" s="23"/>
      <c r="C13" s="68" t="s">
        <v>17</v>
      </c>
      <c r="D13" s="68" t="s">
        <v>23</v>
      </c>
      <c r="E13" s="68">
        <v>0.59299999999999997</v>
      </c>
      <c r="F13" s="222">
        <v>5692800</v>
      </c>
      <c r="G13" s="68"/>
      <c r="H13" s="68"/>
      <c r="I13" s="68"/>
      <c r="J13" s="69"/>
      <c r="L13" s="23" t="s">
        <v>220</v>
      </c>
      <c r="M13" s="442">
        <f>(6.7+1.2+0.3+9.6)/1700*InflationAdjustment!C18</f>
        <v>1.0795176470588235E-2</v>
      </c>
      <c r="N13" s="446" t="s">
        <v>230</v>
      </c>
      <c r="O13" s="445" t="s">
        <v>46</v>
      </c>
      <c r="P13" s="68" t="s">
        <v>289</v>
      </c>
      <c r="Q13" s="68"/>
      <c r="R13" s="68"/>
      <c r="S13" s="68"/>
      <c r="T13" s="69"/>
    </row>
    <row r="14" spans="2:20" ht="15" customHeight="1" x14ac:dyDescent="0.25">
      <c r="B14" s="23"/>
      <c r="C14" s="68" t="s">
        <v>18</v>
      </c>
      <c r="D14" s="68" t="s">
        <v>24</v>
      </c>
      <c r="E14" s="68">
        <v>1</v>
      </c>
      <c r="F14" s="222">
        <v>9600000</v>
      </c>
      <c r="G14" s="68"/>
      <c r="H14" s="68"/>
      <c r="I14" s="68"/>
      <c r="J14" s="69"/>
      <c r="L14" s="11"/>
      <c r="M14" s="73"/>
      <c r="N14" s="73"/>
      <c r="O14" s="73"/>
      <c r="P14" s="73"/>
      <c r="Q14" s="73"/>
      <c r="R14" s="73"/>
      <c r="S14" s="73"/>
      <c r="T14" s="74"/>
    </row>
    <row r="15" spans="2:20" x14ac:dyDescent="0.25">
      <c r="B15" s="23"/>
      <c r="C15" s="68"/>
      <c r="D15" s="68"/>
      <c r="E15" s="68"/>
      <c r="F15" s="68"/>
      <c r="G15" s="68"/>
      <c r="H15" s="68"/>
      <c r="I15" s="68"/>
      <c r="J15" s="69"/>
      <c r="L15" s="11"/>
      <c r="N15" s="318"/>
      <c r="O15" s="318"/>
      <c r="P15" s="236"/>
      <c r="Q15" s="236"/>
      <c r="R15" s="236"/>
      <c r="S15" s="236"/>
      <c r="T15" s="237"/>
    </row>
    <row r="16" spans="2:20" x14ac:dyDescent="0.25">
      <c r="B16" s="221" t="s">
        <v>26</v>
      </c>
      <c r="C16" s="68" t="s">
        <v>5</v>
      </c>
      <c r="D16" s="68" t="s">
        <v>6</v>
      </c>
      <c r="E16" s="93" t="s">
        <v>8</v>
      </c>
      <c r="F16" s="68"/>
      <c r="G16" s="68"/>
      <c r="H16" s="68"/>
      <c r="I16" s="68"/>
      <c r="J16" s="69"/>
      <c r="L16" s="23" t="s">
        <v>201</v>
      </c>
      <c r="M16" s="93" t="s">
        <v>426</v>
      </c>
      <c r="N16" s="93" t="s">
        <v>6</v>
      </c>
      <c r="O16" s="93" t="s">
        <v>426</v>
      </c>
      <c r="P16" s="93" t="s">
        <v>6</v>
      </c>
      <c r="Q16" s="68"/>
      <c r="R16" s="68"/>
      <c r="S16" s="68"/>
      <c r="T16" s="69"/>
    </row>
    <row r="17" spans="2:20" x14ac:dyDescent="0.25">
      <c r="B17" s="70"/>
      <c r="C17" s="319">
        <v>4327</v>
      </c>
      <c r="D17" s="71" t="s">
        <v>27</v>
      </c>
      <c r="E17" s="400">
        <v>2017</v>
      </c>
      <c r="F17" s="71"/>
      <c r="G17" s="71"/>
      <c r="H17" s="71"/>
      <c r="I17" s="71"/>
      <c r="J17" s="72"/>
      <c r="L17" s="23" t="s">
        <v>100</v>
      </c>
      <c r="M17" s="244">
        <f>D27</f>
        <v>28.6</v>
      </c>
      <c r="N17" s="68" t="s">
        <v>97</v>
      </c>
      <c r="O17" s="244">
        <f>M17</f>
        <v>28.6</v>
      </c>
      <c r="P17" s="68" t="s">
        <v>97</v>
      </c>
      <c r="Q17" s="68"/>
      <c r="R17" s="68"/>
      <c r="S17" s="68"/>
      <c r="T17" s="69"/>
    </row>
    <row r="18" spans="2:20" ht="18.75" x14ac:dyDescent="0.3">
      <c r="B18" s="22" t="s">
        <v>92</v>
      </c>
      <c r="C18" s="75"/>
      <c r="D18" s="75"/>
      <c r="E18" s="75"/>
      <c r="F18" s="75"/>
      <c r="G18" s="75"/>
      <c r="H18" s="75"/>
      <c r="I18" s="75"/>
      <c r="J18" s="76"/>
      <c r="L18" s="23" t="s">
        <v>202</v>
      </c>
      <c r="M18" s="244">
        <f>D30</f>
        <v>44.9</v>
      </c>
      <c r="N18" s="68" t="s">
        <v>97</v>
      </c>
      <c r="O18" s="244">
        <f>M18</f>
        <v>44.9</v>
      </c>
      <c r="P18" s="68" t="s">
        <v>97</v>
      </c>
      <c r="Q18" s="68"/>
      <c r="R18" s="68"/>
      <c r="S18" s="68"/>
      <c r="T18" s="69"/>
    </row>
    <row r="19" spans="2:20" ht="28.5" customHeight="1" x14ac:dyDescent="0.25">
      <c r="B19" s="23"/>
      <c r="C19" s="68"/>
      <c r="D19" s="68"/>
      <c r="E19" s="68"/>
      <c r="F19" s="68"/>
      <c r="G19" s="68"/>
      <c r="H19" s="68"/>
      <c r="I19" s="68"/>
      <c r="J19" s="69"/>
      <c r="L19" s="11" t="s">
        <v>46</v>
      </c>
      <c r="M19" s="68" t="str">
        <f>B2</f>
        <v>Benefit-Cost Analysis Guidance for Discretionary Grant Programs - June 2018</v>
      </c>
      <c r="N19" s="68"/>
      <c r="O19" s="68"/>
      <c r="P19" s="68"/>
      <c r="Q19" s="68"/>
      <c r="R19" s="68"/>
      <c r="S19" s="68"/>
      <c r="T19" s="69"/>
    </row>
    <row r="20" spans="2:20" x14ac:dyDescent="0.25">
      <c r="B20" s="23" t="s">
        <v>28</v>
      </c>
      <c r="C20" s="68" t="s">
        <v>423</v>
      </c>
      <c r="D20" s="68"/>
      <c r="E20" s="68"/>
      <c r="F20" s="68"/>
      <c r="G20" s="68"/>
      <c r="H20" s="68"/>
      <c r="I20" s="68"/>
      <c r="J20" s="69"/>
      <c r="L20" s="70"/>
      <c r="M20" s="71"/>
      <c r="N20" s="71"/>
      <c r="O20" s="71"/>
      <c r="P20" s="71"/>
      <c r="Q20" s="71"/>
      <c r="R20" s="71"/>
      <c r="S20" s="71"/>
      <c r="T20" s="72"/>
    </row>
    <row r="21" spans="2:20" ht="45.75" x14ac:dyDescent="0.3">
      <c r="B21" s="23"/>
      <c r="C21" s="77" t="s">
        <v>29</v>
      </c>
      <c r="D21" s="238" t="s">
        <v>38</v>
      </c>
      <c r="E21" s="238" t="s">
        <v>30</v>
      </c>
      <c r="F21" s="68"/>
      <c r="G21" s="68"/>
      <c r="H21" s="68"/>
      <c r="I21" s="68"/>
      <c r="J21" s="69"/>
      <c r="L21" s="22" t="s">
        <v>222</v>
      </c>
      <c r="M21" s="68"/>
      <c r="N21" s="68"/>
      <c r="O21" s="68"/>
      <c r="P21" s="68"/>
      <c r="Q21" s="68"/>
      <c r="R21" s="68"/>
      <c r="S21" s="68"/>
      <c r="T21" s="69"/>
    </row>
    <row r="22" spans="2:20" ht="18.75" x14ac:dyDescent="0.3">
      <c r="B22" s="23"/>
      <c r="C22" s="1" t="s">
        <v>31</v>
      </c>
      <c r="D22" s="68"/>
      <c r="E22" s="68"/>
      <c r="F22" s="68"/>
      <c r="G22" s="68"/>
      <c r="H22" s="68"/>
      <c r="I22" s="68"/>
      <c r="J22" s="69"/>
      <c r="L22" s="22"/>
      <c r="M22" s="68"/>
      <c r="N22" s="68"/>
      <c r="O22" s="68"/>
      <c r="P22" s="68"/>
      <c r="Q22" s="68"/>
      <c r="R22" s="68"/>
      <c r="S22" s="68"/>
      <c r="T22" s="69"/>
    </row>
    <row r="23" spans="2:20" x14ac:dyDescent="0.25">
      <c r="B23" s="23"/>
      <c r="C23" s="68" t="s">
        <v>32</v>
      </c>
      <c r="D23" s="244">
        <v>14.2</v>
      </c>
      <c r="E23" s="68"/>
      <c r="F23" s="68"/>
      <c r="G23" s="68"/>
      <c r="H23" s="68"/>
      <c r="I23" s="68"/>
      <c r="J23" s="69"/>
      <c r="L23" s="23"/>
      <c r="M23" s="93" t="s">
        <v>5</v>
      </c>
      <c r="N23" s="93" t="s">
        <v>6</v>
      </c>
      <c r="O23" s="68"/>
      <c r="P23" s="68"/>
      <c r="Q23" s="68"/>
      <c r="R23" s="68"/>
      <c r="S23" s="68"/>
      <c r="T23" s="69"/>
    </row>
    <row r="24" spans="2:20" x14ac:dyDescent="0.25">
      <c r="B24" s="23"/>
      <c r="C24" s="68" t="s">
        <v>33</v>
      </c>
      <c r="D24" s="244">
        <v>26.5</v>
      </c>
      <c r="E24" s="68"/>
      <c r="F24" s="68"/>
      <c r="G24" s="68"/>
      <c r="H24" s="68"/>
      <c r="I24" s="68"/>
      <c r="J24" s="69"/>
      <c r="L24" s="23" t="s">
        <v>101</v>
      </c>
      <c r="M24" s="223">
        <f>1000/6.5</f>
        <v>153.84615384615384</v>
      </c>
      <c r="N24" s="446" t="s">
        <v>53</v>
      </c>
      <c r="O24" s="445" t="s">
        <v>46</v>
      </c>
      <c r="P24" s="464" t="s">
        <v>307</v>
      </c>
      <c r="Q24" s="464"/>
      <c r="R24" s="464"/>
      <c r="S24" s="464"/>
      <c r="T24" s="465"/>
    </row>
    <row r="25" spans="2:20" ht="15" customHeight="1" x14ac:dyDescent="0.25">
      <c r="B25" s="23"/>
      <c r="C25" s="68" t="s">
        <v>90</v>
      </c>
      <c r="D25" s="244">
        <v>14.8</v>
      </c>
      <c r="E25" s="68"/>
      <c r="F25" s="68"/>
      <c r="G25" s="68"/>
      <c r="H25" s="68"/>
      <c r="I25" s="68"/>
      <c r="J25" s="69"/>
      <c r="L25" s="23" t="s">
        <v>205</v>
      </c>
      <c r="M25" s="223">
        <v>473</v>
      </c>
      <c r="N25" s="446" t="s">
        <v>206</v>
      </c>
      <c r="O25" s="445" t="s">
        <v>46</v>
      </c>
      <c r="P25" s="464" t="s">
        <v>289</v>
      </c>
      <c r="Q25" s="464"/>
      <c r="R25" s="464"/>
      <c r="S25" s="464"/>
      <c r="T25" s="465"/>
    </row>
    <row r="26" spans="2:20" x14ac:dyDescent="0.25">
      <c r="B26" s="23"/>
      <c r="C26" s="68"/>
      <c r="D26" s="68"/>
      <c r="E26" s="68"/>
      <c r="F26" s="68"/>
      <c r="G26" s="68"/>
      <c r="H26" s="68"/>
      <c r="I26" s="68"/>
      <c r="J26" s="69"/>
      <c r="L26" s="11"/>
      <c r="M26" s="73"/>
      <c r="N26" s="73"/>
      <c r="O26" s="73"/>
      <c r="P26" s="73"/>
      <c r="Q26" s="73"/>
      <c r="R26" s="73"/>
      <c r="S26" s="73"/>
      <c r="T26" s="74"/>
    </row>
    <row r="27" spans="2:20" x14ac:dyDescent="0.25">
      <c r="B27" s="23"/>
      <c r="C27" s="68" t="s">
        <v>34</v>
      </c>
      <c r="D27" s="244">
        <v>28.6</v>
      </c>
      <c r="E27" s="68"/>
      <c r="F27" s="68"/>
      <c r="G27" s="68"/>
      <c r="H27" s="68"/>
      <c r="I27" s="68"/>
      <c r="J27" s="69"/>
      <c r="L27" s="23"/>
      <c r="M27" s="68"/>
      <c r="N27" s="68"/>
      <c r="O27" s="68"/>
      <c r="P27" s="68"/>
      <c r="Q27" s="68"/>
      <c r="R27" s="68"/>
      <c r="S27" s="68"/>
      <c r="T27" s="69"/>
    </row>
    <row r="28" spans="2:20" x14ac:dyDescent="0.25">
      <c r="B28" s="23"/>
      <c r="C28" s="68" t="s">
        <v>35</v>
      </c>
      <c r="D28" s="244">
        <v>30</v>
      </c>
      <c r="E28" s="68"/>
      <c r="F28" s="68"/>
      <c r="G28" s="68"/>
      <c r="H28" s="68"/>
      <c r="I28" s="68"/>
      <c r="J28" s="69"/>
      <c r="L28" s="23" t="s">
        <v>88</v>
      </c>
      <c r="M28" s="68" t="s">
        <v>67</v>
      </c>
      <c r="N28" s="68"/>
      <c r="O28" s="68"/>
      <c r="P28" s="68"/>
      <c r="Q28" s="68"/>
      <c r="R28" s="68"/>
      <c r="S28" s="68"/>
      <c r="T28" s="69"/>
    </row>
    <row r="29" spans="2:20" x14ac:dyDescent="0.25">
      <c r="B29" s="23"/>
      <c r="C29" s="68" t="s">
        <v>36</v>
      </c>
      <c r="D29" s="244">
        <v>48.9</v>
      </c>
      <c r="E29" s="68"/>
      <c r="F29" s="68"/>
      <c r="G29" s="68"/>
      <c r="H29" s="68"/>
      <c r="I29" s="68"/>
      <c r="J29" s="69"/>
      <c r="L29" s="11" t="s">
        <v>46</v>
      </c>
      <c r="M29" s="68" t="str">
        <f>'Emissions - Truck'!C77</f>
        <v>California Life-Cycle Benefit/Cost Analysis Model (Version 6.0), Caltrans, 2017</v>
      </c>
      <c r="N29" s="68"/>
      <c r="O29" s="68"/>
      <c r="P29" s="68"/>
      <c r="Q29" s="68"/>
      <c r="R29" s="68"/>
      <c r="S29" s="68"/>
      <c r="T29" s="69"/>
    </row>
    <row r="30" spans="2:20" x14ac:dyDescent="0.25">
      <c r="B30" s="23"/>
      <c r="C30" s="68" t="s">
        <v>37</v>
      </c>
      <c r="D30" s="244">
        <v>44.9</v>
      </c>
      <c r="E30" s="68"/>
      <c r="F30" s="68"/>
      <c r="G30" s="68"/>
      <c r="H30" s="68"/>
      <c r="I30" s="68"/>
      <c r="J30" s="69"/>
      <c r="L30" s="23"/>
      <c r="M30" s="68"/>
      <c r="N30" s="68"/>
      <c r="O30" s="68"/>
      <c r="P30" s="68"/>
      <c r="Q30" s="68"/>
      <c r="R30" s="68"/>
      <c r="S30" s="68"/>
      <c r="T30" s="69"/>
    </row>
    <row r="31" spans="2:20" x14ac:dyDescent="0.25">
      <c r="B31" s="23"/>
      <c r="C31" s="68"/>
      <c r="D31" s="244"/>
      <c r="E31" s="68"/>
      <c r="F31" s="68"/>
      <c r="G31" s="68"/>
      <c r="H31" s="68"/>
      <c r="I31" s="68"/>
      <c r="J31" s="69"/>
      <c r="L31" s="23" t="s">
        <v>39</v>
      </c>
      <c r="M31" s="68" t="s">
        <v>40</v>
      </c>
      <c r="N31" s="93" t="s">
        <v>425</v>
      </c>
      <c r="O31" s="93" t="s">
        <v>424</v>
      </c>
      <c r="P31" s="68"/>
      <c r="Q31" s="68"/>
      <c r="R31" s="68"/>
      <c r="S31" s="68"/>
      <c r="T31" s="69"/>
    </row>
    <row r="32" spans="2:20" x14ac:dyDescent="0.25">
      <c r="B32" s="23"/>
      <c r="C32" s="68"/>
      <c r="D32" s="244"/>
      <c r="E32" s="68"/>
      <c r="F32" s="68"/>
      <c r="G32" s="68"/>
      <c r="H32" s="68"/>
      <c r="I32" s="68"/>
      <c r="J32" s="69"/>
      <c r="L32" s="23"/>
      <c r="M32" s="68" t="s">
        <v>41</v>
      </c>
      <c r="N32" s="68" t="s">
        <v>89</v>
      </c>
      <c r="O32" s="68" t="s">
        <v>89</v>
      </c>
      <c r="P32" s="68"/>
      <c r="Q32" s="68"/>
      <c r="R32" s="68"/>
      <c r="S32" s="68"/>
      <c r="T32" s="69"/>
    </row>
    <row r="33" spans="2:20" x14ac:dyDescent="0.25">
      <c r="B33" s="23" t="s">
        <v>421</v>
      </c>
      <c r="C33" s="68"/>
      <c r="D33" s="244"/>
      <c r="E33" s="68"/>
      <c r="F33" s="68"/>
      <c r="G33" s="68"/>
      <c r="H33" s="68"/>
      <c r="I33" s="68"/>
      <c r="J33" s="69"/>
      <c r="L33" s="23"/>
      <c r="M33" s="68" t="s">
        <v>42</v>
      </c>
      <c r="N33" s="222">
        <f>D41</f>
        <v>1905</v>
      </c>
      <c r="O33" s="222">
        <f>E41</f>
        <v>2098.3575000000001</v>
      </c>
      <c r="P33" s="68"/>
      <c r="Q33" s="68"/>
      <c r="R33" s="68"/>
      <c r="S33" s="68"/>
      <c r="T33" s="69"/>
    </row>
    <row r="34" spans="2:20" x14ac:dyDescent="0.25">
      <c r="B34" s="23"/>
      <c r="C34" s="68" t="s">
        <v>422</v>
      </c>
      <c r="D34" s="244">
        <v>0.9</v>
      </c>
      <c r="E34" s="68"/>
      <c r="F34" s="68"/>
      <c r="G34" s="68"/>
      <c r="H34" s="68"/>
      <c r="I34" s="68"/>
      <c r="J34" s="69"/>
      <c r="L34" s="23"/>
      <c r="M34" s="68" t="s">
        <v>43</v>
      </c>
      <c r="N34" s="222">
        <f t="shared" ref="N34:O34" si="0">D42</f>
        <v>7508</v>
      </c>
      <c r="O34" s="222">
        <f t="shared" si="0"/>
        <v>8270.0619999999999</v>
      </c>
      <c r="P34" s="68"/>
      <c r="Q34" s="68"/>
      <c r="R34" s="68"/>
      <c r="S34" s="68"/>
      <c r="T34" s="69"/>
    </row>
    <row r="35" spans="2:20" x14ac:dyDescent="0.25">
      <c r="B35" s="23"/>
      <c r="C35" s="68"/>
      <c r="D35" s="244"/>
      <c r="E35" s="68"/>
      <c r="F35" s="68"/>
      <c r="G35" s="68"/>
      <c r="H35" s="68"/>
      <c r="I35" s="68"/>
      <c r="J35" s="69"/>
      <c r="L35" s="23"/>
      <c r="M35" s="68" t="s">
        <v>44</v>
      </c>
      <c r="N35" s="222">
        <f t="shared" ref="N35:O35" si="1">D43</f>
        <v>343442</v>
      </c>
      <c r="O35" s="222">
        <f t="shared" si="1"/>
        <v>378301.36299999995</v>
      </c>
      <c r="P35" s="68"/>
      <c r="Q35" s="68"/>
      <c r="R35" s="68"/>
      <c r="S35" s="68"/>
      <c r="T35" s="69"/>
    </row>
    <row r="36" spans="2:20" x14ac:dyDescent="0.25">
      <c r="B36" s="70"/>
      <c r="C36" s="71"/>
      <c r="D36" s="71"/>
      <c r="E36" s="71"/>
      <c r="F36" s="71"/>
      <c r="G36" s="71"/>
      <c r="H36" s="71"/>
      <c r="I36" s="71"/>
      <c r="J36" s="72"/>
      <c r="L36" s="23"/>
      <c r="M36" s="68" t="s">
        <v>47</v>
      </c>
      <c r="N36" s="222">
        <f t="shared" ref="N36:O36" si="2">D44</f>
        <v>44373</v>
      </c>
      <c r="O36" s="222">
        <f t="shared" si="2"/>
        <v>48876.859499999999</v>
      </c>
      <c r="P36" s="68"/>
      <c r="Q36" s="68"/>
      <c r="R36" s="68"/>
      <c r="S36" s="68"/>
      <c r="T36" s="69"/>
    </row>
    <row r="37" spans="2:20" ht="18.75" x14ac:dyDescent="0.3">
      <c r="B37" s="24" t="s">
        <v>435</v>
      </c>
      <c r="C37" s="75"/>
      <c r="D37" s="75"/>
      <c r="E37" s="75"/>
      <c r="F37" s="75"/>
      <c r="G37" s="75"/>
      <c r="H37" s="75"/>
      <c r="I37" s="75"/>
      <c r="J37" s="76"/>
      <c r="L37" s="11" t="s">
        <v>46</v>
      </c>
      <c r="M37" s="68" t="str">
        <f>B2</f>
        <v>Benefit-Cost Analysis Guidance for Discretionary Grant Programs - June 2018</v>
      </c>
      <c r="N37" s="68"/>
      <c r="O37" s="68"/>
      <c r="P37" s="68"/>
      <c r="Q37" s="68"/>
      <c r="R37" s="68"/>
      <c r="S37" s="68"/>
      <c r="T37" s="69"/>
    </row>
    <row r="38" spans="2:20" x14ac:dyDescent="0.25">
      <c r="B38" s="23"/>
      <c r="C38" s="68"/>
      <c r="D38" s="68"/>
      <c r="E38" s="68"/>
      <c r="F38" s="68"/>
      <c r="G38" s="68"/>
      <c r="H38" s="68"/>
      <c r="I38" s="68"/>
      <c r="J38" s="69"/>
      <c r="L38" s="23"/>
      <c r="M38" s="68"/>
      <c r="N38" s="68"/>
      <c r="O38" s="68"/>
      <c r="P38" s="68"/>
      <c r="Q38" s="68"/>
      <c r="R38" s="68"/>
      <c r="S38" s="68"/>
      <c r="T38" s="69"/>
    </row>
    <row r="39" spans="2:20" x14ac:dyDescent="0.25">
      <c r="B39" s="221" t="s">
        <v>39</v>
      </c>
      <c r="C39" s="68" t="s">
        <v>40</v>
      </c>
      <c r="D39" s="68" t="s">
        <v>425</v>
      </c>
      <c r="E39" s="68" t="s">
        <v>424</v>
      </c>
      <c r="F39" s="68"/>
      <c r="G39" s="68"/>
      <c r="H39" s="68"/>
      <c r="I39" s="68"/>
      <c r="J39" s="69"/>
      <c r="L39" s="23" t="s">
        <v>45</v>
      </c>
      <c r="M39" s="93" t="s">
        <v>3</v>
      </c>
      <c r="N39" s="93" t="s">
        <v>434</v>
      </c>
      <c r="O39" s="68"/>
      <c r="P39" s="68"/>
      <c r="Q39" s="68"/>
      <c r="R39" s="68"/>
      <c r="S39" s="68"/>
      <c r="T39" s="69"/>
    </row>
    <row r="40" spans="2:20" x14ac:dyDescent="0.25">
      <c r="B40" s="23"/>
      <c r="C40" s="68" t="s">
        <v>41</v>
      </c>
      <c r="D40" s="68" t="s">
        <v>89</v>
      </c>
      <c r="E40" s="68" t="s">
        <v>89</v>
      </c>
      <c r="F40" s="68"/>
      <c r="G40" s="68"/>
      <c r="H40" s="68"/>
      <c r="I40" s="68"/>
      <c r="J40" s="69"/>
      <c r="L40" s="23"/>
      <c r="M40" s="68">
        <v>2010</v>
      </c>
      <c r="N40" s="224">
        <f>D47*InflationAdjustment!$C$18</f>
        <v>0</v>
      </c>
      <c r="O40" s="68"/>
      <c r="P40" s="68"/>
      <c r="Q40" s="68"/>
      <c r="R40" s="68"/>
      <c r="S40" s="68"/>
      <c r="T40" s="69"/>
    </row>
    <row r="41" spans="2:20" x14ac:dyDescent="0.25">
      <c r="B41" s="23"/>
      <c r="C41" s="68" t="s">
        <v>42</v>
      </c>
      <c r="D41" s="222">
        <v>1905</v>
      </c>
      <c r="E41" s="222">
        <f>D41*1.1015</f>
        <v>2098.3575000000001</v>
      </c>
      <c r="F41" s="68"/>
      <c r="G41" s="68"/>
      <c r="H41" s="68"/>
      <c r="I41" s="68"/>
      <c r="J41" s="69"/>
      <c r="L41" s="23"/>
      <c r="M41" s="68">
        <v>2011</v>
      </c>
      <c r="N41" s="224">
        <f>D48*InflationAdjustment!$C$18</f>
        <v>0</v>
      </c>
      <c r="O41" s="68"/>
      <c r="P41" s="68"/>
      <c r="Q41" s="68"/>
      <c r="R41" s="68"/>
      <c r="S41" s="68"/>
      <c r="T41" s="69"/>
    </row>
    <row r="42" spans="2:20" x14ac:dyDescent="0.25">
      <c r="B42" s="23"/>
      <c r="C42" s="68" t="s">
        <v>43</v>
      </c>
      <c r="D42" s="222">
        <v>7508</v>
      </c>
      <c r="E42" s="222">
        <f>D42*1.1015</f>
        <v>8270.0619999999999</v>
      </c>
      <c r="F42" s="68"/>
      <c r="G42" s="68"/>
      <c r="H42" s="68"/>
      <c r="I42" s="68"/>
      <c r="J42" s="69"/>
      <c r="L42" s="23"/>
      <c r="M42" s="68">
        <v>2012</v>
      </c>
      <c r="N42" s="224">
        <f>D49*InflationAdjustment!$C$18</f>
        <v>0</v>
      </c>
      <c r="O42" s="68"/>
      <c r="P42" s="68"/>
      <c r="Q42" s="68"/>
      <c r="R42" s="68"/>
      <c r="S42" s="68"/>
      <c r="T42" s="69"/>
    </row>
    <row r="43" spans="2:20" x14ac:dyDescent="0.25">
      <c r="B43" s="23"/>
      <c r="C43" s="68" t="s">
        <v>44</v>
      </c>
      <c r="D43" s="222">
        <v>343442</v>
      </c>
      <c r="E43" s="222">
        <f>D43*1.1015</f>
        <v>378301.36299999995</v>
      </c>
      <c r="F43" s="68"/>
      <c r="G43" s="68"/>
      <c r="H43" s="68"/>
      <c r="I43" s="68"/>
      <c r="J43" s="69"/>
      <c r="L43" s="23"/>
      <c r="M43" s="68">
        <v>2013</v>
      </c>
      <c r="N43" s="224">
        <f>D50*InflationAdjustment!$C$18</f>
        <v>0</v>
      </c>
      <c r="O43" s="68"/>
      <c r="P43" s="68"/>
      <c r="Q43" s="68"/>
      <c r="R43" s="68"/>
      <c r="S43" s="68"/>
      <c r="T43" s="69"/>
    </row>
    <row r="44" spans="2:20" x14ac:dyDescent="0.25">
      <c r="B44" s="23"/>
      <c r="C44" s="68" t="s">
        <v>47</v>
      </c>
      <c r="D44" s="222">
        <v>44373</v>
      </c>
      <c r="E44" s="222">
        <f>D44*1.1015</f>
        <v>48876.859499999999</v>
      </c>
      <c r="F44" s="68"/>
      <c r="G44" s="68"/>
      <c r="H44" s="68"/>
      <c r="I44" s="68"/>
      <c r="J44" s="69"/>
      <c r="L44" s="23"/>
      <c r="M44" s="68">
        <v>2014</v>
      </c>
      <c r="N44" s="224">
        <f>D51*InflationAdjustment!$C$18</f>
        <v>0</v>
      </c>
      <c r="O44" s="68"/>
      <c r="P44" s="68"/>
      <c r="Q44" s="68"/>
      <c r="R44" s="68"/>
      <c r="S44" s="68"/>
      <c r="T44" s="69"/>
    </row>
    <row r="45" spans="2:20" x14ac:dyDescent="0.25">
      <c r="B45" s="23"/>
      <c r="C45" s="68"/>
      <c r="D45" s="68"/>
      <c r="E45" s="68"/>
      <c r="F45" s="68"/>
      <c r="G45" s="68"/>
      <c r="H45" s="68"/>
      <c r="I45" s="68"/>
      <c r="J45" s="69"/>
      <c r="L45" s="23"/>
      <c r="M45" s="68">
        <v>2015</v>
      </c>
      <c r="N45" s="224">
        <f>D52*InflationAdjustment!$C$18</f>
        <v>0</v>
      </c>
      <c r="O45" s="68"/>
      <c r="P45" s="68"/>
      <c r="Q45" s="68"/>
      <c r="R45" s="68"/>
      <c r="S45" s="68"/>
      <c r="T45" s="69"/>
    </row>
    <row r="46" spans="2:20" x14ac:dyDescent="0.25">
      <c r="B46" s="221" t="s">
        <v>45</v>
      </c>
      <c r="C46" s="68" t="s">
        <v>3</v>
      </c>
      <c r="D46" s="68" t="s">
        <v>134</v>
      </c>
      <c r="E46" s="68"/>
      <c r="F46" s="68"/>
      <c r="G46" s="68"/>
      <c r="H46" s="68"/>
      <c r="I46" s="68"/>
      <c r="J46" s="69"/>
      <c r="L46" s="23"/>
      <c r="M46" s="68">
        <v>2016</v>
      </c>
      <c r="N46" s="224">
        <f>D53*InflationAdjustment!$C$18</f>
        <v>0</v>
      </c>
      <c r="O46" s="68"/>
      <c r="P46" s="68"/>
      <c r="Q46" s="68"/>
      <c r="R46" s="68"/>
      <c r="S46" s="68"/>
      <c r="T46" s="69"/>
    </row>
    <row r="47" spans="2:20" x14ac:dyDescent="0.25">
      <c r="B47" s="23"/>
      <c r="C47" s="68">
        <v>2010</v>
      </c>
      <c r="D47" s="224"/>
      <c r="E47" s="68"/>
      <c r="F47" s="68"/>
      <c r="G47" s="68"/>
      <c r="H47" s="68"/>
      <c r="I47" s="68"/>
      <c r="J47" s="69"/>
      <c r="L47" s="23"/>
      <c r="M47" s="68">
        <v>2017</v>
      </c>
      <c r="N47" s="224">
        <f>D54*InflationAdjustment!$C$18</f>
        <v>0</v>
      </c>
      <c r="O47" s="68"/>
      <c r="P47" s="68"/>
      <c r="Q47" s="68"/>
      <c r="R47" s="68"/>
      <c r="S47" s="68"/>
      <c r="T47" s="69"/>
    </row>
    <row r="48" spans="2:20" x14ac:dyDescent="0.25">
      <c r="B48" s="23"/>
      <c r="C48" s="68">
        <v>2011</v>
      </c>
      <c r="D48" s="224"/>
      <c r="E48" s="68"/>
      <c r="F48" s="68"/>
      <c r="G48" s="68"/>
      <c r="H48" s="68"/>
      <c r="I48" s="68"/>
      <c r="J48" s="69"/>
      <c r="L48" s="23"/>
      <c r="M48" s="68">
        <v>2018</v>
      </c>
      <c r="N48" s="224">
        <f>D55*InflationAdjustment!$C$18</f>
        <v>0</v>
      </c>
      <c r="O48" s="68"/>
      <c r="P48" s="68"/>
      <c r="Q48" s="68"/>
      <c r="R48" s="68"/>
      <c r="S48" s="68"/>
      <c r="T48" s="69"/>
    </row>
    <row r="49" spans="2:20" x14ac:dyDescent="0.25">
      <c r="B49" s="23"/>
      <c r="C49" s="68">
        <v>2012</v>
      </c>
      <c r="D49" s="224"/>
      <c r="E49" s="68"/>
      <c r="F49" s="68"/>
      <c r="G49" s="68"/>
      <c r="H49" s="68"/>
      <c r="I49" s="68"/>
      <c r="J49" s="69"/>
      <c r="L49" s="23"/>
      <c r="M49" s="68">
        <v>2019</v>
      </c>
      <c r="N49" s="224">
        <f>D56*InflationAdjustment!$C$18</f>
        <v>0</v>
      </c>
      <c r="O49" s="68"/>
      <c r="P49" s="68"/>
      <c r="Q49" s="68"/>
      <c r="R49" s="68"/>
      <c r="S49" s="68"/>
      <c r="T49" s="69"/>
    </row>
    <row r="50" spans="2:20" x14ac:dyDescent="0.25">
      <c r="B50" s="23"/>
      <c r="C50" s="68">
        <v>2013</v>
      </c>
      <c r="D50" s="224"/>
      <c r="E50" s="68"/>
      <c r="F50" s="68"/>
      <c r="G50" s="68"/>
      <c r="H50" s="68"/>
      <c r="I50" s="68"/>
      <c r="J50" s="69"/>
      <c r="L50" s="23"/>
      <c r="M50" s="68">
        <v>2020</v>
      </c>
      <c r="N50" s="224">
        <f>D57*InflationAdjustment!$C$18</f>
        <v>0</v>
      </c>
      <c r="O50" s="68"/>
      <c r="P50" s="68"/>
      <c r="Q50" s="68"/>
      <c r="R50" s="68"/>
      <c r="S50" s="68"/>
      <c r="T50" s="69"/>
    </row>
    <row r="51" spans="2:20" x14ac:dyDescent="0.25">
      <c r="B51" s="23"/>
      <c r="C51" s="68">
        <v>2014</v>
      </c>
      <c r="D51" s="224"/>
      <c r="E51" s="68"/>
      <c r="F51" s="68"/>
      <c r="G51" s="68"/>
      <c r="H51" s="68"/>
      <c r="I51" s="68"/>
      <c r="J51" s="69"/>
      <c r="L51" s="23"/>
      <c r="M51" s="68">
        <v>2021</v>
      </c>
      <c r="N51" s="224">
        <f>D58*InflationAdjustment!$C$18</f>
        <v>0</v>
      </c>
      <c r="O51" s="68"/>
      <c r="P51" s="68"/>
      <c r="Q51" s="68"/>
      <c r="R51" s="68"/>
      <c r="S51" s="68"/>
      <c r="T51" s="69"/>
    </row>
    <row r="52" spans="2:20" x14ac:dyDescent="0.25">
      <c r="B52" s="23"/>
      <c r="C52" s="68">
        <v>2015</v>
      </c>
      <c r="D52" s="224"/>
      <c r="E52" s="68"/>
      <c r="F52" s="68"/>
      <c r="G52" s="68"/>
      <c r="H52" s="68"/>
      <c r="I52" s="68"/>
      <c r="J52" s="69"/>
      <c r="L52" s="23"/>
      <c r="M52" s="68">
        <v>2022</v>
      </c>
      <c r="N52" s="224">
        <f>D59*InflationAdjustment!$C$18</f>
        <v>0</v>
      </c>
      <c r="O52" s="68"/>
      <c r="P52" s="68"/>
      <c r="Q52" s="68"/>
      <c r="R52" s="68"/>
      <c r="S52" s="68"/>
      <c r="T52" s="69"/>
    </row>
    <row r="53" spans="2:20" x14ac:dyDescent="0.25">
      <c r="B53" s="23"/>
      <c r="C53" s="68">
        <v>2016</v>
      </c>
      <c r="D53" s="224"/>
      <c r="E53" s="68"/>
      <c r="F53" s="68"/>
      <c r="G53" s="68"/>
      <c r="H53" s="68"/>
      <c r="I53" s="68"/>
      <c r="J53" s="69"/>
      <c r="L53" s="23"/>
      <c r="M53" s="68">
        <v>2023</v>
      </c>
      <c r="N53" s="224">
        <f>D60*InflationAdjustment!$C$18</f>
        <v>0</v>
      </c>
      <c r="O53" s="68"/>
      <c r="P53" s="68"/>
      <c r="Q53" s="68"/>
      <c r="R53" s="68"/>
      <c r="S53" s="68"/>
      <c r="T53" s="69"/>
    </row>
    <row r="54" spans="2:20" x14ac:dyDescent="0.25">
      <c r="B54" s="23"/>
      <c r="C54" s="68">
        <v>2017</v>
      </c>
      <c r="D54" s="224"/>
      <c r="E54" s="68"/>
      <c r="F54" s="68"/>
      <c r="G54" s="68"/>
      <c r="H54" s="68"/>
      <c r="I54" s="68"/>
      <c r="J54" s="69"/>
      <c r="L54" s="23"/>
      <c r="M54" s="68">
        <v>2024</v>
      </c>
      <c r="N54" s="224">
        <f>D61*InflationAdjustment!$C$18</f>
        <v>0</v>
      </c>
      <c r="O54" s="68"/>
      <c r="P54" s="68"/>
      <c r="Q54" s="68"/>
      <c r="R54" s="68"/>
      <c r="S54" s="68"/>
      <c r="T54" s="69"/>
    </row>
    <row r="55" spans="2:20" x14ac:dyDescent="0.25">
      <c r="B55" s="23"/>
      <c r="C55" s="68">
        <v>2018</v>
      </c>
      <c r="D55" s="224"/>
      <c r="E55" s="68"/>
      <c r="F55" s="68"/>
      <c r="G55" s="68"/>
      <c r="H55" s="68"/>
      <c r="I55" s="68"/>
      <c r="J55" s="69"/>
      <c r="L55" s="23"/>
      <c r="M55" s="68">
        <v>2025</v>
      </c>
      <c r="N55" s="224">
        <f>D62*InflationAdjustment!$C$18</f>
        <v>0</v>
      </c>
      <c r="O55" s="68"/>
      <c r="P55" s="68"/>
      <c r="Q55" s="68"/>
      <c r="R55" s="68"/>
      <c r="S55" s="68"/>
      <c r="T55" s="69"/>
    </row>
    <row r="56" spans="2:20" x14ac:dyDescent="0.25">
      <c r="B56" s="23"/>
      <c r="C56" s="68">
        <v>2019</v>
      </c>
      <c r="D56" s="224"/>
      <c r="E56" s="68"/>
      <c r="F56" s="68"/>
      <c r="G56" s="68"/>
      <c r="H56" s="68"/>
      <c r="I56" s="68"/>
      <c r="J56" s="69"/>
      <c r="L56" s="23"/>
      <c r="M56" s="68">
        <v>2026</v>
      </c>
      <c r="N56" s="224">
        <f>D63*InflationAdjustment!$C$18</f>
        <v>0</v>
      </c>
      <c r="O56" s="68"/>
      <c r="P56" s="68"/>
      <c r="Q56" s="68"/>
      <c r="R56" s="68"/>
      <c r="S56" s="68"/>
      <c r="T56" s="69"/>
    </row>
    <row r="57" spans="2:20" x14ac:dyDescent="0.25">
      <c r="B57" s="23"/>
      <c r="C57" s="68">
        <v>2020</v>
      </c>
      <c r="D57" s="224"/>
      <c r="E57" s="68"/>
      <c r="F57" s="68"/>
      <c r="G57" s="68"/>
      <c r="H57" s="68"/>
      <c r="I57" s="68"/>
      <c r="J57" s="69"/>
      <c r="L57" s="23"/>
      <c r="M57" s="68">
        <v>2027</v>
      </c>
      <c r="N57" s="224">
        <f>D64*InflationAdjustment!$C$18</f>
        <v>0</v>
      </c>
      <c r="O57" s="68"/>
      <c r="P57" s="68"/>
      <c r="Q57" s="68"/>
      <c r="R57" s="68"/>
      <c r="S57" s="68"/>
      <c r="T57" s="69"/>
    </row>
    <row r="58" spans="2:20" x14ac:dyDescent="0.25">
      <c r="B58" s="23"/>
      <c r="C58" s="68">
        <v>2021</v>
      </c>
      <c r="D58" s="224"/>
      <c r="E58" s="68"/>
      <c r="F58" s="68"/>
      <c r="G58" s="68"/>
      <c r="H58" s="68"/>
      <c r="I58" s="68"/>
      <c r="J58" s="69"/>
      <c r="L58" s="23"/>
      <c r="M58" s="68">
        <v>2028</v>
      </c>
      <c r="N58" s="224">
        <f>D65*InflationAdjustment!$C$18</f>
        <v>0</v>
      </c>
      <c r="O58" s="68"/>
      <c r="P58" s="68"/>
      <c r="Q58" s="68"/>
      <c r="R58" s="68"/>
      <c r="S58" s="68"/>
      <c r="T58" s="69"/>
    </row>
    <row r="59" spans="2:20" x14ac:dyDescent="0.25">
      <c r="B59" s="23"/>
      <c r="C59" s="68">
        <v>2022</v>
      </c>
      <c r="D59" s="224"/>
      <c r="E59" s="68"/>
      <c r="F59" s="68"/>
      <c r="G59" s="68"/>
      <c r="H59" s="68"/>
      <c r="I59" s="68"/>
      <c r="J59" s="69"/>
      <c r="L59" s="23"/>
      <c r="M59" s="68">
        <v>2029</v>
      </c>
      <c r="N59" s="224">
        <f>D66*InflationAdjustment!$C$18</f>
        <v>0</v>
      </c>
      <c r="O59" s="68"/>
      <c r="P59" s="68"/>
      <c r="Q59" s="68"/>
      <c r="R59" s="68"/>
      <c r="S59" s="68"/>
      <c r="T59" s="69"/>
    </row>
    <row r="60" spans="2:20" x14ac:dyDescent="0.25">
      <c r="B60" s="23"/>
      <c r="C60" s="68">
        <v>2023</v>
      </c>
      <c r="D60" s="224"/>
      <c r="E60" s="68"/>
      <c r="F60" s="68"/>
      <c r="G60" s="68"/>
      <c r="H60" s="68"/>
      <c r="I60" s="68"/>
      <c r="J60" s="69"/>
      <c r="L60" s="23"/>
      <c r="M60" s="68">
        <v>2030</v>
      </c>
      <c r="N60" s="224">
        <f>D67*InflationAdjustment!$C$18</f>
        <v>0</v>
      </c>
      <c r="O60" s="68"/>
      <c r="P60" s="68"/>
      <c r="Q60" s="68"/>
      <c r="R60" s="68"/>
      <c r="S60" s="68"/>
      <c r="T60" s="69"/>
    </row>
    <row r="61" spans="2:20" x14ac:dyDescent="0.25">
      <c r="B61" s="23"/>
      <c r="C61" s="68">
        <v>2024</v>
      </c>
      <c r="D61" s="224"/>
      <c r="E61" s="68"/>
      <c r="F61" s="68"/>
      <c r="G61" s="68"/>
      <c r="H61" s="68"/>
      <c r="I61" s="68"/>
      <c r="J61" s="69"/>
      <c r="L61" s="23"/>
      <c r="M61" s="68">
        <v>2031</v>
      </c>
      <c r="N61" s="224">
        <f>D68*InflationAdjustment!$C$18</f>
        <v>0</v>
      </c>
      <c r="O61" s="68"/>
      <c r="P61" s="68"/>
      <c r="Q61" s="68"/>
      <c r="R61" s="68"/>
      <c r="S61" s="68"/>
      <c r="T61" s="69"/>
    </row>
    <row r="62" spans="2:20" x14ac:dyDescent="0.25">
      <c r="B62" s="23"/>
      <c r="C62" s="68">
        <v>2025</v>
      </c>
      <c r="D62" s="224"/>
      <c r="E62" s="68"/>
      <c r="F62" s="68"/>
      <c r="G62" s="68"/>
      <c r="H62" s="68"/>
      <c r="I62" s="68"/>
      <c r="J62" s="69"/>
      <c r="L62" s="23"/>
      <c r="M62" s="68">
        <v>2032</v>
      </c>
      <c r="N62" s="224">
        <f>D69*InflationAdjustment!$C$18</f>
        <v>0</v>
      </c>
      <c r="O62" s="68"/>
      <c r="P62" s="68"/>
      <c r="Q62" s="68"/>
      <c r="R62" s="68"/>
      <c r="S62" s="68"/>
      <c r="T62" s="69"/>
    </row>
    <row r="63" spans="2:20" x14ac:dyDescent="0.25">
      <c r="B63" s="23"/>
      <c r="C63" s="68">
        <v>2026</v>
      </c>
      <c r="D63" s="224"/>
      <c r="E63" s="68"/>
      <c r="F63" s="68"/>
      <c r="G63" s="68"/>
      <c r="H63" s="68"/>
      <c r="I63" s="68"/>
      <c r="J63" s="69"/>
      <c r="L63" s="23"/>
      <c r="M63" s="68">
        <v>2033</v>
      </c>
      <c r="N63" s="224">
        <f>D70*InflationAdjustment!$C$18</f>
        <v>0</v>
      </c>
      <c r="O63" s="68"/>
      <c r="P63" s="68"/>
      <c r="Q63" s="68"/>
      <c r="R63" s="68"/>
      <c r="S63" s="68"/>
      <c r="T63" s="69"/>
    </row>
    <row r="64" spans="2:20" x14ac:dyDescent="0.25">
      <c r="B64" s="23"/>
      <c r="C64" s="68">
        <v>2027</v>
      </c>
      <c r="D64" s="224"/>
      <c r="E64" s="68"/>
      <c r="F64" s="68"/>
      <c r="G64" s="68"/>
      <c r="H64" s="68"/>
      <c r="I64" s="68"/>
      <c r="J64" s="69"/>
      <c r="L64" s="23"/>
      <c r="M64" s="68">
        <v>2034</v>
      </c>
      <c r="N64" s="224">
        <f>D71*InflationAdjustment!$C$18</f>
        <v>0</v>
      </c>
      <c r="O64" s="68"/>
      <c r="P64" s="68"/>
      <c r="Q64" s="68"/>
      <c r="R64" s="68"/>
      <c r="S64" s="68"/>
      <c r="T64" s="69"/>
    </row>
    <row r="65" spans="2:20" x14ac:dyDescent="0.25">
      <c r="B65" s="23"/>
      <c r="C65" s="68">
        <v>2028</v>
      </c>
      <c r="D65" s="224"/>
      <c r="E65" s="68"/>
      <c r="F65" s="68"/>
      <c r="G65" s="68"/>
      <c r="H65" s="68"/>
      <c r="I65" s="68"/>
      <c r="J65" s="69"/>
      <c r="L65" s="23"/>
      <c r="M65" s="68">
        <v>2035</v>
      </c>
      <c r="N65" s="224">
        <f>D72*InflationAdjustment!$C$18</f>
        <v>0</v>
      </c>
      <c r="O65" s="68"/>
      <c r="P65" s="68"/>
      <c r="Q65" s="68"/>
      <c r="R65" s="68"/>
      <c r="S65" s="68"/>
      <c r="T65" s="69"/>
    </row>
    <row r="66" spans="2:20" x14ac:dyDescent="0.25">
      <c r="B66" s="23"/>
      <c r="C66" s="68">
        <v>2029</v>
      </c>
      <c r="D66" s="224"/>
      <c r="E66" s="68"/>
      <c r="F66" s="68"/>
      <c r="G66" s="68"/>
      <c r="H66" s="68"/>
      <c r="I66" s="68"/>
      <c r="J66" s="69"/>
      <c r="L66" s="23"/>
      <c r="M66" s="68">
        <v>2036</v>
      </c>
      <c r="N66" s="224">
        <f>D73*InflationAdjustment!$C$18</f>
        <v>0</v>
      </c>
      <c r="O66" s="68"/>
      <c r="P66" s="68"/>
      <c r="Q66" s="68"/>
      <c r="R66" s="68"/>
      <c r="S66" s="68"/>
      <c r="T66" s="69"/>
    </row>
    <row r="67" spans="2:20" x14ac:dyDescent="0.25">
      <c r="B67" s="23"/>
      <c r="C67" s="68">
        <v>2030</v>
      </c>
      <c r="D67" s="224"/>
      <c r="E67" s="68"/>
      <c r="F67" s="68"/>
      <c r="G67" s="68"/>
      <c r="H67" s="68"/>
      <c r="I67" s="68"/>
      <c r="J67" s="69"/>
      <c r="L67" s="23"/>
      <c r="M67" s="68">
        <v>2037</v>
      </c>
      <c r="N67" s="224">
        <f>D74*InflationAdjustment!$C$18</f>
        <v>0</v>
      </c>
      <c r="O67" s="68"/>
      <c r="P67" s="68"/>
      <c r="Q67" s="68"/>
      <c r="R67" s="68"/>
      <c r="S67" s="68"/>
      <c r="T67" s="69"/>
    </row>
    <row r="68" spans="2:20" x14ac:dyDescent="0.25">
      <c r="B68" s="23"/>
      <c r="C68" s="68">
        <v>2031</v>
      </c>
      <c r="D68" s="224"/>
      <c r="E68" s="68"/>
      <c r="F68" s="68"/>
      <c r="G68" s="68"/>
      <c r="H68" s="68"/>
      <c r="I68" s="68"/>
      <c r="J68" s="69"/>
      <c r="L68" s="23"/>
      <c r="M68" s="68">
        <v>2038</v>
      </c>
      <c r="N68" s="224">
        <f>D75*InflationAdjustment!$C$18</f>
        <v>0</v>
      </c>
      <c r="O68" s="68"/>
      <c r="P68" s="68"/>
      <c r="Q68" s="68"/>
      <c r="R68" s="68"/>
      <c r="S68" s="68"/>
      <c r="T68" s="69"/>
    </row>
    <row r="69" spans="2:20" x14ac:dyDescent="0.25">
      <c r="B69" s="23"/>
      <c r="C69" s="68">
        <v>2032</v>
      </c>
      <c r="D69" s="224"/>
      <c r="E69" s="68"/>
      <c r="F69" s="68"/>
      <c r="G69" s="68"/>
      <c r="H69" s="68"/>
      <c r="I69" s="68"/>
      <c r="J69" s="69"/>
      <c r="L69" s="23"/>
      <c r="M69" s="68">
        <v>2039</v>
      </c>
      <c r="N69" s="224">
        <f>D76*InflationAdjustment!$C$18</f>
        <v>0</v>
      </c>
      <c r="O69" s="68"/>
      <c r="P69" s="68"/>
      <c r="Q69" s="68"/>
      <c r="R69" s="68"/>
      <c r="S69" s="68"/>
      <c r="T69" s="69"/>
    </row>
    <row r="70" spans="2:20" x14ac:dyDescent="0.25">
      <c r="B70" s="23"/>
      <c r="C70" s="68">
        <v>2033</v>
      </c>
      <c r="D70" s="224"/>
      <c r="E70" s="68"/>
      <c r="F70" s="68"/>
      <c r="G70" s="68"/>
      <c r="H70" s="68"/>
      <c r="I70" s="68"/>
      <c r="J70" s="69"/>
      <c r="L70" s="23"/>
      <c r="M70" s="68">
        <v>2040</v>
      </c>
      <c r="N70" s="224">
        <f>D77*InflationAdjustment!$C$18</f>
        <v>0</v>
      </c>
      <c r="O70" s="68"/>
      <c r="P70" s="68"/>
      <c r="Q70" s="68"/>
      <c r="R70" s="68"/>
      <c r="S70" s="68"/>
      <c r="T70" s="69"/>
    </row>
    <row r="71" spans="2:20" x14ac:dyDescent="0.25">
      <c r="B71" s="23"/>
      <c r="C71" s="68">
        <v>2034</v>
      </c>
      <c r="D71" s="224"/>
      <c r="E71" s="68"/>
      <c r="F71" s="68"/>
      <c r="G71" s="68"/>
      <c r="H71" s="68"/>
      <c r="I71" s="68"/>
      <c r="J71" s="69"/>
      <c r="L71" s="23"/>
      <c r="M71" s="68">
        <v>2041</v>
      </c>
      <c r="N71" s="224">
        <f>D78*InflationAdjustment!$C$18</f>
        <v>0</v>
      </c>
      <c r="O71" s="68"/>
      <c r="P71" s="68"/>
      <c r="Q71" s="68"/>
      <c r="R71" s="68"/>
      <c r="S71" s="68"/>
      <c r="T71" s="69"/>
    </row>
    <row r="72" spans="2:20" x14ac:dyDescent="0.25">
      <c r="B72" s="23"/>
      <c r="C72" s="68">
        <v>2035</v>
      </c>
      <c r="D72" s="224"/>
      <c r="E72" s="68"/>
      <c r="F72" s="68"/>
      <c r="G72" s="68"/>
      <c r="H72" s="68"/>
      <c r="I72" s="68"/>
      <c r="J72" s="69"/>
      <c r="L72" s="23"/>
      <c r="M72" s="68">
        <v>2042</v>
      </c>
      <c r="N72" s="224">
        <f>D79*InflationAdjustment!$C$18</f>
        <v>0</v>
      </c>
      <c r="O72" s="68"/>
      <c r="P72" s="68"/>
      <c r="Q72" s="68"/>
      <c r="R72" s="68"/>
      <c r="S72" s="68"/>
      <c r="T72" s="69"/>
    </row>
    <row r="73" spans="2:20" x14ac:dyDescent="0.25">
      <c r="B73" s="23"/>
      <c r="C73" s="68">
        <v>2036</v>
      </c>
      <c r="D73" s="224"/>
      <c r="E73" s="68"/>
      <c r="F73" s="68"/>
      <c r="G73" s="68"/>
      <c r="H73" s="68"/>
      <c r="I73" s="68"/>
      <c r="J73" s="69"/>
      <c r="L73" s="23"/>
      <c r="M73" s="68">
        <v>2043</v>
      </c>
      <c r="N73" s="224">
        <f>D80*InflationAdjustment!$C$18</f>
        <v>0</v>
      </c>
      <c r="O73" s="68"/>
      <c r="P73" s="68"/>
      <c r="Q73" s="68"/>
      <c r="R73" s="68"/>
      <c r="S73" s="68"/>
      <c r="T73" s="69"/>
    </row>
    <row r="74" spans="2:20" x14ac:dyDescent="0.25">
      <c r="B74" s="23"/>
      <c r="C74" s="68">
        <v>2037</v>
      </c>
      <c r="D74" s="224"/>
      <c r="E74" s="68"/>
      <c r="F74" s="68"/>
      <c r="G74" s="68"/>
      <c r="H74" s="68"/>
      <c r="I74" s="68"/>
      <c r="J74" s="69"/>
      <c r="L74" s="23"/>
      <c r="M74" s="68">
        <v>2044</v>
      </c>
      <c r="N74" s="224">
        <f>D81*InflationAdjustment!$C$18</f>
        <v>0</v>
      </c>
      <c r="O74" s="68"/>
      <c r="P74" s="68"/>
      <c r="Q74" s="68"/>
      <c r="R74" s="68"/>
      <c r="S74" s="68"/>
      <c r="T74" s="69"/>
    </row>
    <row r="75" spans="2:20" x14ac:dyDescent="0.25">
      <c r="B75" s="23"/>
      <c r="C75" s="68">
        <v>2038</v>
      </c>
      <c r="D75" s="224"/>
      <c r="E75" s="68"/>
      <c r="F75" s="68"/>
      <c r="G75" s="68"/>
      <c r="H75" s="68"/>
      <c r="I75" s="68"/>
      <c r="J75" s="69"/>
      <c r="L75" s="23"/>
      <c r="M75" s="68">
        <v>2045</v>
      </c>
      <c r="N75" s="224">
        <f>D82*InflationAdjustment!$C$18</f>
        <v>0</v>
      </c>
      <c r="O75" s="68"/>
      <c r="P75" s="68"/>
      <c r="Q75" s="68"/>
      <c r="R75" s="68"/>
      <c r="S75" s="68"/>
      <c r="T75" s="69"/>
    </row>
    <row r="76" spans="2:20" x14ac:dyDescent="0.25">
      <c r="B76" s="23"/>
      <c r="C76" s="68">
        <v>2039</v>
      </c>
      <c r="D76" s="224"/>
      <c r="E76" s="68"/>
      <c r="F76" s="68"/>
      <c r="G76" s="68"/>
      <c r="H76" s="68"/>
      <c r="I76" s="68"/>
      <c r="J76" s="69"/>
      <c r="L76" s="23"/>
      <c r="M76" s="68">
        <v>2046</v>
      </c>
      <c r="N76" s="224">
        <f>D83*InflationAdjustment!$C$18</f>
        <v>0</v>
      </c>
      <c r="O76" s="68"/>
      <c r="P76" s="68"/>
      <c r="Q76" s="68"/>
      <c r="R76" s="68"/>
      <c r="S76" s="68"/>
      <c r="T76" s="69"/>
    </row>
    <row r="77" spans="2:20" x14ac:dyDescent="0.25">
      <c r="B77" s="23"/>
      <c r="C77" s="68">
        <v>2040</v>
      </c>
      <c r="D77" s="224"/>
      <c r="E77" s="68"/>
      <c r="F77" s="68"/>
      <c r="G77" s="68"/>
      <c r="H77" s="68"/>
      <c r="I77" s="68"/>
      <c r="J77" s="69"/>
      <c r="L77" s="23"/>
      <c r="M77" s="68">
        <v>2047</v>
      </c>
      <c r="N77" s="224">
        <f>D84*InflationAdjustment!$C$18</f>
        <v>0</v>
      </c>
      <c r="O77" s="68"/>
      <c r="P77" s="68"/>
      <c r="Q77" s="68"/>
      <c r="R77" s="68"/>
      <c r="S77" s="68"/>
      <c r="T77" s="69"/>
    </row>
    <row r="78" spans="2:20" x14ac:dyDescent="0.25">
      <c r="B78" s="23"/>
      <c r="C78" s="68">
        <v>2041</v>
      </c>
      <c r="D78" s="224"/>
      <c r="E78" s="68"/>
      <c r="F78" s="68"/>
      <c r="G78" s="68"/>
      <c r="H78" s="68"/>
      <c r="I78" s="68"/>
      <c r="J78" s="69"/>
      <c r="L78" s="23"/>
      <c r="M78" s="68">
        <v>2048</v>
      </c>
      <c r="N78" s="224">
        <f>D85*InflationAdjustment!$C$18</f>
        <v>0</v>
      </c>
      <c r="O78" s="68"/>
      <c r="P78" s="68"/>
      <c r="Q78" s="68"/>
      <c r="R78" s="68"/>
      <c r="S78" s="68"/>
      <c r="T78" s="69"/>
    </row>
    <row r="79" spans="2:20" x14ac:dyDescent="0.25">
      <c r="B79" s="23"/>
      <c r="C79" s="68">
        <v>2042</v>
      </c>
      <c r="D79" s="224"/>
      <c r="E79" s="68"/>
      <c r="F79" s="68"/>
      <c r="G79" s="68"/>
      <c r="H79" s="68"/>
      <c r="I79" s="68"/>
      <c r="J79" s="69"/>
      <c r="L79" s="23"/>
      <c r="M79" s="68">
        <v>2049</v>
      </c>
      <c r="N79" s="224">
        <f>D86*InflationAdjustment!$C$18</f>
        <v>0</v>
      </c>
      <c r="O79" s="68"/>
      <c r="P79" s="68"/>
      <c r="Q79" s="68"/>
      <c r="R79" s="68"/>
      <c r="S79" s="68"/>
      <c r="T79" s="69"/>
    </row>
    <row r="80" spans="2:20" x14ac:dyDescent="0.25">
      <c r="B80" s="23"/>
      <c r="C80" s="68">
        <v>2043</v>
      </c>
      <c r="D80" s="224"/>
      <c r="E80" s="68"/>
      <c r="F80" s="68"/>
      <c r="G80" s="68"/>
      <c r="H80" s="68"/>
      <c r="I80" s="68"/>
      <c r="J80" s="69"/>
      <c r="L80" s="23"/>
      <c r="M80" s="68">
        <v>2050</v>
      </c>
      <c r="N80" s="224">
        <f>D87*InflationAdjustment!$C$18</f>
        <v>0</v>
      </c>
      <c r="O80" s="68"/>
      <c r="P80" s="68"/>
      <c r="Q80" s="68"/>
      <c r="R80" s="68"/>
      <c r="S80" s="68"/>
      <c r="T80" s="69"/>
    </row>
    <row r="81" spans="2:20" x14ac:dyDescent="0.25">
      <c r="B81" s="23"/>
      <c r="C81" s="68">
        <v>2044</v>
      </c>
      <c r="D81" s="224"/>
      <c r="E81" s="68"/>
      <c r="F81" s="68"/>
      <c r="G81" s="68"/>
      <c r="H81" s="68"/>
      <c r="I81" s="68"/>
      <c r="J81" s="69"/>
      <c r="L81" s="11"/>
      <c r="M81" s="68">
        <v>2051</v>
      </c>
      <c r="N81" s="68">
        <f>N80</f>
        <v>0</v>
      </c>
      <c r="O81" s="68"/>
      <c r="P81" s="68"/>
      <c r="Q81" s="68"/>
      <c r="R81" s="68"/>
      <c r="S81" s="68"/>
      <c r="T81" s="69"/>
    </row>
    <row r="82" spans="2:20" x14ac:dyDescent="0.25">
      <c r="B82" s="23"/>
      <c r="C82" s="68">
        <v>2045</v>
      </c>
      <c r="D82" s="224"/>
      <c r="E82" s="68"/>
      <c r="F82" s="68"/>
      <c r="G82" s="68"/>
      <c r="H82" s="68"/>
      <c r="I82" s="68"/>
      <c r="J82" s="69"/>
      <c r="L82" s="70"/>
      <c r="M82" s="71"/>
      <c r="N82" s="71"/>
      <c r="O82" s="71"/>
      <c r="P82" s="71"/>
      <c r="Q82" s="71"/>
      <c r="R82" s="71"/>
      <c r="S82" s="71"/>
      <c r="T82" s="72"/>
    </row>
    <row r="83" spans="2:20" ht="18.75" x14ac:dyDescent="0.3">
      <c r="B83" s="23"/>
      <c r="C83" s="68">
        <v>2046</v>
      </c>
      <c r="D83" s="224"/>
      <c r="E83" s="68"/>
      <c r="F83" s="68"/>
      <c r="G83" s="68"/>
      <c r="H83" s="68"/>
      <c r="I83" s="68"/>
      <c r="J83" s="69"/>
      <c r="L83" s="22" t="s">
        <v>0</v>
      </c>
      <c r="M83" s="68"/>
      <c r="N83" s="68"/>
      <c r="O83" s="68"/>
      <c r="P83" s="68"/>
      <c r="Q83" s="68"/>
      <c r="R83" s="68"/>
      <c r="S83" s="68"/>
      <c r="T83" s="69"/>
    </row>
    <row r="84" spans="2:20" x14ac:dyDescent="0.25">
      <c r="B84" s="23"/>
      <c r="C84" s="68">
        <v>2047</v>
      </c>
      <c r="D84" s="224"/>
      <c r="E84" s="68"/>
      <c r="F84" s="68"/>
      <c r="G84" s="68"/>
      <c r="H84" s="68"/>
      <c r="I84" s="68"/>
      <c r="J84" s="69"/>
      <c r="L84" s="23"/>
      <c r="M84" s="68"/>
      <c r="N84" s="68"/>
      <c r="O84" s="68"/>
      <c r="P84" s="68"/>
      <c r="Q84" s="68"/>
      <c r="R84" s="68"/>
      <c r="S84" s="68"/>
      <c r="T84" s="69"/>
    </row>
    <row r="85" spans="2:20" x14ac:dyDescent="0.25">
      <c r="B85" s="23"/>
      <c r="C85" s="68">
        <v>2048</v>
      </c>
      <c r="D85" s="224"/>
      <c r="E85" s="68"/>
      <c r="F85" s="68"/>
      <c r="G85" s="68"/>
      <c r="H85" s="68"/>
      <c r="I85" s="68"/>
      <c r="J85" s="69"/>
      <c r="L85" s="23" t="s">
        <v>103</v>
      </c>
      <c r="M85" s="68" t="s">
        <v>104</v>
      </c>
      <c r="N85" s="68"/>
      <c r="O85" s="68"/>
      <c r="P85" s="68"/>
      <c r="Q85" s="68"/>
      <c r="R85" s="68"/>
      <c r="S85" s="68"/>
      <c r="T85" s="69"/>
    </row>
    <row r="86" spans="2:20" x14ac:dyDescent="0.25">
      <c r="B86" s="23"/>
      <c r="C86" s="68">
        <v>2049</v>
      </c>
      <c r="D86" s="224"/>
      <c r="E86" s="68"/>
      <c r="F86" s="68"/>
      <c r="G86" s="68"/>
      <c r="H86" s="68"/>
      <c r="I86" s="68"/>
      <c r="J86" s="69"/>
      <c r="L86" s="23"/>
      <c r="M86" s="68"/>
      <c r="N86" s="68"/>
      <c r="O86" s="68"/>
      <c r="P86" s="68"/>
      <c r="Q86" s="68"/>
      <c r="R86" s="68"/>
      <c r="S86" s="68"/>
      <c r="T86" s="69"/>
    </row>
    <row r="87" spans="2:20" x14ac:dyDescent="0.25">
      <c r="B87" s="23"/>
      <c r="C87" s="68">
        <v>2050</v>
      </c>
      <c r="D87" s="224"/>
      <c r="E87" s="68"/>
      <c r="F87" s="68"/>
      <c r="G87" s="68"/>
      <c r="H87" s="68"/>
      <c r="I87" s="68"/>
      <c r="J87" s="69"/>
      <c r="L87" s="23" t="s">
        <v>25</v>
      </c>
      <c r="M87" s="93" t="s">
        <v>5</v>
      </c>
      <c r="N87" s="93" t="s">
        <v>6</v>
      </c>
      <c r="O87" s="93" t="s">
        <v>8</v>
      </c>
      <c r="P87" s="68"/>
      <c r="Q87" s="68"/>
      <c r="R87" s="68"/>
      <c r="S87" s="68"/>
      <c r="T87" s="69"/>
    </row>
    <row r="88" spans="2:20" x14ac:dyDescent="0.25">
      <c r="B88" s="23"/>
      <c r="C88" s="68"/>
      <c r="D88" s="68"/>
      <c r="E88" s="68"/>
      <c r="F88" s="68"/>
      <c r="G88" s="68"/>
      <c r="H88" s="68"/>
      <c r="I88" s="68"/>
      <c r="J88" s="69"/>
      <c r="L88" s="11"/>
      <c r="M88" s="25">
        <f>C6</f>
        <v>9600000</v>
      </c>
      <c r="N88" s="68" t="s">
        <v>7</v>
      </c>
      <c r="O88" s="400">
        <f>E6</f>
        <v>2017</v>
      </c>
      <c r="P88" s="68"/>
      <c r="Q88" s="68"/>
      <c r="R88" s="68"/>
      <c r="S88" s="68"/>
      <c r="T88" s="69"/>
    </row>
    <row r="89" spans="2:20" ht="15.75" thickBot="1" x14ac:dyDescent="0.3">
      <c r="B89" s="461"/>
      <c r="C89" s="462"/>
      <c r="D89" s="462"/>
      <c r="E89" s="462"/>
      <c r="F89" s="462"/>
      <c r="G89" s="462"/>
      <c r="H89" s="462"/>
      <c r="I89" s="462"/>
      <c r="J89" s="463"/>
      <c r="L89" s="11" t="s">
        <v>46</v>
      </c>
      <c r="M89" s="68" t="str">
        <f>M98</f>
        <v>Benefit-Cost Analysis Guidance for Discretionary Grant Programs - June 2018</v>
      </c>
      <c r="N89" s="68"/>
      <c r="O89" s="68"/>
      <c r="P89" s="68"/>
      <c r="Q89" s="68"/>
      <c r="R89" s="68"/>
      <c r="S89" s="68"/>
      <c r="T89" s="69"/>
    </row>
    <row r="90" spans="2:20" ht="48.75" customHeight="1" x14ac:dyDescent="0.25">
      <c r="L90" s="23"/>
      <c r="M90" s="68"/>
      <c r="N90" s="68"/>
      <c r="O90" s="68"/>
      <c r="P90" s="68"/>
      <c r="Q90" s="68"/>
      <c r="R90" s="68"/>
      <c r="S90" s="68"/>
      <c r="T90" s="69"/>
    </row>
    <row r="91" spans="2:20" x14ac:dyDescent="0.25">
      <c r="L91" s="23" t="s">
        <v>9</v>
      </c>
      <c r="M91" s="68" t="s">
        <v>12</v>
      </c>
      <c r="N91" s="68" t="s">
        <v>13</v>
      </c>
      <c r="O91" s="68" t="s">
        <v>14</v>
      </c>
      <c r="P91" s="68" t="str">
        <f>F8</f>
        <v>Unit Value ($2017)</v>
      </c>
      <c r="Q91" s="68"/>
      <c r="R91" s="68"/>
      <c r="S91" s="68"/>
      <c r="T91" s="69"/>
    </row>
    <row r="92" spans="2:20" x14ac:dyDescent="0.25">
      <c r="L92" s="11"/>
      <c r="M92" s="68" t="s">
        <v>10</v>
      </c>
      <c r="N92" s="68" t="s">
        <v>19</v>
      </c>
      <c r="O92" s="68">
        <f>E9</f>
        <v>3.0000000000000001E-3</v>
      </c>
      <c r="P92" s="245">
        <f>F9</f>
        <v>28800</v>
      </c>
      <c r="Q92" s="68"/>
      <c r="R92" s="68"/>
      <c r="S92" s="68"/>
      <c r="T92" s="69"/>
    </row>
    <row r="93" spans="2:20" x14ac:dyDescent="0.25">
      <c r="L93" s="11"/>
      <c r="M93" s="68" t="s">
        <v>11</v>
      </c>
      <c r="N93" s="68" t="s">
        <v>20</v>
      </c>
      <c r="O93" s="68">
        <f t="shared" ref="O93:P93" si="3">E10</f>
        <v>4.7E-2</v>
      </c>
      <c r="P93" s="245">
        <f t="shared" si="3"/>
        <v>451200</v>
      </c>
      <c r="Q93" s="68"/>
      <c r="R93" s="68"/>
      <c r="S93" s="68"/>
      <c r="T93" s="69"/>
    </row>
    <row r="94" spans="2:20" x14ac:dyDescent="0.25">
      <c r="L94" s="11"/>
      <c r="M94" s="68" t="s">
        <v>15</v>
      </c>
      <c r="N94" s="68" t="s">
        <v>21</v>
      </c>
      <c r="O94" s="68">
        <f t="shared" ref="O94:P94" si="4">E11</f>
        <v>0.105</v>
      </c>
      <c r="P94" s="245">
        <f t="shared" si="4"/>
        <v>1008000</v>
      </c>
      <c r="Q94" s="68"/>
      <c r="R94" s="68"/>
      <c r="S94" s="68"/>
      <c r="T94" s="69"/>
    </row>
    <row r="95" spans="2:20" x14ac:dyDescent="0.25">
      <c r="L95" s="11"/>
      <c r="M95" s="68" t="s">
        <v>16</v>
      </c>
      <c r="N95" s="68" t="s">
        <v>22</v>
      </c>
      <c r="O95" s="68">
        <f t="shared" ref="O95:P95" si="5">E12</f>
        <v>0.26600000000000001</v>
      </c>
      <c r="P95" s="245">
        <f t="shared" si="5"/>
        <v>2553600</v>
      </c>
      <c r="Q95" s="68"/>
      <c r="R95" s="68"/>
      <c r="S95" s="68"/>
      <c r="T95" s="69"/>
    </row>
    <row r="96" spans="2:20" x14ac:dyDescent="0.25">
      <c r="L96" s="11"/>
      <c r="M96" s="68" t="s">
        <v>17</v>
      </c>
      <c r="N96" s="68" t="s">
        <v>23</v>
      </c>
      <c r="O96" s="68">
        <f t="shared" ref="O96:P96" si="6">E13</f>
        <v>0.59299999999999997</v>
      </c>
      <c r="P96" s="245">
        <f t="shared" si="6"/>
        <v>5692800</v>
      </c>
      <c r="Q96" s="68"/>
      <c r="R96" s="68"/>
      <c r="S96" s="68"/>
      <c r="T96" s="69"/>
    </row>
    <row r="97" spans="12:20" x14ac:dyDescent="0.25">
      <c r="L97" s="11"/>
      <c r="M97" s="68" t="s">
        <v>18</v>
      </c>
      <c r="N97" s="68" t="s">
        <v>24</v>
      </c>
      <c r="O97" s="68">
        <f t="shared" ref="O97:P97" si="7">E14</f>
        <v>1</v>
      </c>
      <c r="P97" s="245">
        <f t="shared" si="7"/>
        <v>9600000</v>
      </c>
      <c r="Q97" s="68"/>
      <c r="R97" s="68"/>
      <c r="S97" s="68"/>
      <c r="T97" s="69"/>
    </row>
    <row r="98" spans="12:20" x14ac:dyDescent="0.25">
      <c r="L98" s="11" t="s">
        <v>46</v>
      </c>
      <c r="M98" s="68" t="str">
        <f>B2</f>
        <v>Benefit-Cost Analysis Guidance for Discretionary Grant Programs - June 2018</v>
      </c>
      <c r="N98" s="68"/>
      <c r="O98" s="68"/>
      <c r="P98" s="68"/>
      <c r="Q98" s="68"/>
      <c r="R98" s="68"/>
      <c r="S98" s="68"/>
      <c r="T98" s="69"/>
    </row>
    <row r="99" spans="12:20" x14ac:dyDescent="0.25">
      <c r="L99" s="23"/>
      <c r="M99" s="68"/>
      <c r="N99" s="68"/>
      <c r="O99" s="68"/>
      <c r="P99" s="68"/>
      <c r="Q99" s="68"/>
      <c r="R99" s="68"/>
      <c r="S99" s="68"/>
      <c r="T99" s="69"/>
    </row>
    <row r="100" spans="12:20" x14ac:dyDescent="0.25">
      <c r="L100" s="23" t="s">
        <v>26</v>
      </c>
      <c r="M100" s="93" t="s">
        <v>5</v>
      </c>
      <c r="N100" s="93" t="s">
        <v>6</v>
      </c>
      <c r="O100" s="93" t="s">
        <v>8</v>
      </c>
      <c r="P100" s="68"/>
      <c r="Q100" s="68"/>
      <c r="R100" s="68"/>
      <c r="S100" s="68"/>
      <c r="T100" s="69"/>
    </row>
    <row r="101" spans="12:20" x14ac:dyDescent="0.25">
      <c r="L101" s="23"/>
      <c r="M101" s="25">
        <f>C17</f>
        <v>4327</v>
      </c>
      <c r="N101" s="68" t="s">
        <v>27</v>
      </c>
      <c r="O101" s="400">
        <f>E17</f>
        <v>2017</v>
      </c>
      <c r="P101" s="68"/>
      <c r="Q101" s="68"/>
      <c r="R101" s="68"/>
      <c r="S101" s="68"/>
      <c r="T101" s="69"/>
    </row>
    <row r="102" spans="12:20" ht="15.75" thickBot="1" x14ac:dyDescent="0.3">
      <c r="L102" s="246" t="s">
        <v>46</v>
      </c>
      <c r="M102" s="78" t="str">
        <f>B2</f>
        <v>Benefit-Cost Analysis Guidance for Discretionary Grant Programs - June 2018</v>
      </c>
      <c r="N102" s="78"/>
      <c r="O102" s="78"/>
      <c r="P102" s="78"/>
      <c r="Q102" s="78"/>
      <c r="R102" s="78"/>
      <c r="S102" s="78"/>
      <c r="T102" s="79"/>
    </row>
  </sheetData>
  <mergeCells count="5">
    <mergeCell ref="B89:J89"/>
    <mergeCell ref="M7:T7"/>
    <mergeCell ref="P12:T12"/>
    <mergeCell ref="P24:T24"/>
    <mergeCell ref="P25:T2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zoomScale="70" zoomScaleNormal="70" workbookViewId="0">
      <selection activeCell="D17" sqref="D17"/>
    </sheetView>
  </sheetViews>
  <sheetFormatPr defaultColWidth="9.140625" defaultRowHeight="15" x14ac:dyDescent="0.25"/>
  <cols>
    <col min="1" max="1" width="19.28515625" style="57" customWidth="1"/>
    <col min="2" max="2" width="25.5703125" style="57" customWidth="1"/>
    <col min="3" max="3" width="20.7109375" style="57" customWidth="1"/>
    <col min="4" max="4" width="20.140625" style="57" customWidth="1"/>
    <col min="5" max="5" width="22.140625" style="57" customWidth="1"/>
    <col min="6" max="6" width="29.85546875" style="57" customWidth="1"/>
    <col min="7" max="7" width="31.5703125" style="57" customWidth="1"/>
    <col min="8" max="8" width="26.7109375" style="57" customWidth="1"/>
    <col min="9" max="9" width="24.85546875" style="57" customWidth="1"/>
    <col min="10" max="10" width="27.85546875" style="57" customWidth="1"/>
    <col min="11" max="11" width="28.140625" style="57" customWidth="1"/>
    <col min="12" max="12" width="30.28515625" style="57" customWidth="1"/>
    <col min="13" max="13" width="9.140625" style="57"/>
    <col min="14" max="14" width="8.85546875" style="57" customWidth="1"/>
    <col min="15" max="15" width="13.85546875" style="57" bestFit="1" customWidth="1"/>
    <col min="16" max="16" width="14.85546875" style="57" bestFit="1" customWidth="1"/>
    <col min="17" max="17" width="17.7109375" style="57" bestFit="1" customWidth="1"/>
    <col min="18" max="24" width="9.140625" style="57"/>
    <col min="25" max="25" width="10.7109375" style="57" bestFit="1" customWidth="1"/>
    <col min="26" max="16384" width="9.140625" style="57"/>
  </cols>
  <sheetData>
    <row r="1" spans="1:12" ht="18.75" x14ac:dyDescent="0.3">
      <c r="A1" s="456" t="s">
        <v>109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8"/>
    </row>
    <row r="2" spans="1:12" ht="59.25" customHeight="1" x14ac:dyDescent="0.25">
      <c r="A2" s="326" t="s">
        <v>3</v>
      </c>
      <c r="B2" s="327" t="s">
        <v>140</v>
      </c>
      <c r="C2" s="327" t="s">
        <v>141</v>
      </c>
      <c r="D2" s="327" t="s">
        <v>142</v>
      </c>
      <c r="E2" s="328" t="s">
        <v>125</v>
      </c>
      <c r="F2" s="329" t="s">
        <v>143</v>
      </c>
      <c r="G2" s="327" t="s">
        <v>144</v>
      </c>
      <c r="H2" s="327" t="s">
        <v>147</v>
      </c>
      <c r="I2" s="327" t="s">
        <v>126</v>
      </c>
      <c r="J2" s="329" t="s">
        <v>145</v>
      </c>
      <c r="K2" s="327" t="s">
        <v>146</v>
      </c>
      <c r="L2" s="330" t="s">
        <v>148</v>
      </c>
    </row>
    <row r="3" spans="1:12" ht="14.25" customHeight="1" x14ac:dyDescent="0.25">
      <c r="A3" s="12">
        <v>2014</v>
      </c>
      <c r="B3" s="54">
        <v>0</v>
      </c>
      <c r="C3" s="54">
        <f>B3*('Other Factors'!$B$28+'Other Factors'!$C$28+'Other Factors'!$D$28)</f>
        <v>0</v>
      </c>
      <c r="D3" s="54">
        <f>B3*('Other Factors'!$B$29+'Other Factors'!$C$29+'Other Factors'!$D$29)</f>
        <v>0</v>
      </c>
      <c r="E3" s="54">
        <f>(C3/'Other Factors'!$B$3)</f>
        <v>0</v>
      </c>
      <c r="F3" s="157">
        <f>E3*'Other Factors'!$B$28/(SUM('Other Factors'!$B$28:$D$28))</f>
        <v>0</v>
      </c>
      <c r="G3" s="157">
        <f>E3*'Other Factors'!$C$28/(SUM('Other Factors'!$B$28:$D$28))</f>
        <v>0</v>
      </c>
      <c r="H3" s="157">
        <f>E3*'Other Factors'!$D$28/(SUM('Other Factors'!$B$28:$D$28))</f>
        <v>0</v>
      </c>
      <c r="I3" s="54">
        <f>D3/('Other Factors'!$B$4*'Other Factors'!$B$5)</f>
        <v>0</v>
      </c>
      <c r="J3" s="54">
        <f>I3*'Other Factors'!$B$29/(SUM('Other Factors'!$B$29:$D$29))</f>
        <v>0</v>
      </c>
      <c r="K3" s="158">
        <f>I3*'Other Factors'!$C$29/(SUM('Other Factors'!$B$29:$D$29))</f>
        <v>0</v>
      </c>
      <c r="L3" s="159">
        <f>I3*'Other Factors'!$D$29/(SUM('Other Factors'!$B$29:$D$29))</f>
        <v>0</v>
      </c>
    </row>
    <row r="4" spans="1:12" x14ac:dyDescent="0.25">
      <c r="A4" s="12">
        <v>2015</v>
      </c>
      <c r="B4" s="54">
        <v>0</v>
      </c>
      <c r="C4" s="54">
        <f>B4*('Other Factors'!$B$28+'Other Factors'!$C$28+'Other Factors'!$D$28)</f>
        <v>0</v>
      </c>
      <c r="D4" s="54">
        <f>B4*('Other Factors'!$B$29+'Other Factors'!$C$29+'Other Factors'!$D$29)</f>
        <v>0</v>
      </c>
      <c r="E4" s="54">
        <f>(C4/'Other Factors'!$B$3)</f>
        <v>0</v>
      </c>
      <c r="F4" s="157">
        <f>E4*'Other Factors'!$B$28/(SUM('Other Factors'!$B$28:$D$28))</f>
        <v>0</v>
      </c>
      <c r="G4" s="157">
        <f>E4*'Other Factors'!$C$28/(SUM('Other Factors'!$B$28:$D$28))</f>
        <v>0</v>
      </c>
      <c r="H4" s="157">
        <f>E4*'Other Factors'!$D$28/(SUM('Other Factors'!$B$28:$D$28))</f>
        <v>0</v>
      </c>
      <c r="I4" s="54">
        <f>D4/('Other Factors'!$B$4*'Other Factors'!$B$5)</f>
        <v>0</v>
      </c>
      <c r="J4" s="54">
        <f>I4*'Other Factors'!$B$29/(SUM('Other Factors'!$B$29:$D$29))</f>
        <v>0</v>
      </c>
      <c r="K4" s="158">
        <f>I4*'Other Factors'!$C$29/(SUM('Other Factors'!$B$29:$D$29))</f>
        <v>0</v>
      </c>
      <c r="L4" s="159">
        <f>I4*'Other Factors'!$D$29/(SUM('Other Factors'!$B$29:$D$29))</f>
        <v>0</v>
      </c>
    </row>
    <row r="5" spans="1:12" x14ac:dyDescent="0.25">
      <c r="A5" s="12">
        <v>2016</v>
      </c>
      <c r="B5" s="54">
        <v>0</v>
      </c>
      <c r="C5" s="54">
        <f>B5*('Other Factors'!$B$28+'Other Factors'!$C$28+'Other Factors'!$D$28)</f>
        <v>0</v>
      </c>
      <c r="D5" s="54">
        <f>B5*('Other Factors'!$B$29+'Other Factors'!$C$29+'Other Factors'!$D$29)</f>
        <v>0</v>
      </c>
      <c r="E5" s="54">
        <f>(C5/'Other Factors'!$B$3)</f>
        <v>0</v>
      </c>
      <c r="F5" s="157">
        <f>E5*'Other Factors'!$B$28/(SUM('Other Factors'!$B$28:$D$28))</f>
        <v>0</v>
      </c>
      <c r="G5" s="157">
        <f>E5*'Other Factors'!$C$28/(SUM('Other Factors'!$B$28:$D$28))</f>
        <v>0</v>
      </c>
      <c r="H5" s="157">
        <f>E5*'Other Factors'!$D$28/(SUM('Other Factors'!$B$28:$D$28))</f>
        <v>0</v>
      </c>
      <c r="I5" s="54">
        <f>D5/('Other Factors'!$B$4*'Other Factors'!$B$5)</f>
        <v>0</v>
      </c>
      <c r="J5" s="54">
        <f>I5*'Other Factors'!$B$29/(SUM('Other Factors'!$B$29:$D$29))</f>
        <v>0</v>
      </c>
      <c r="K5" s="158">
        <f>I5*'Other Factors'!$C$29/(SUM('Other Factors'!$B$29:$D$29))</f>
        <v>0</v>
      </c>
      <c r="L5" s="159">
        <f>I5*'Other Factors'!$D$29/(SUM('Other Factors'!$B$29:$D$29))</f>
        <v>0</v>
      </c>
    </row>
    <row r="6" spans="1:12" x14ac:dyDescent="0.25">
      <c r="A6" s="12">
        <v>2017</v>
      </c>
      <c r="B6" s="54">
        <v>0</v>
      </c>
      <c r="C6" s="54">
        <f>B6*('Other Factors'!$B$28+'Other Factors'!$C$28+'Other Factors'!$D$28)</f>
        <v>0</v>
      </c>
      <c r="D6" s="54">
        <f>B6*('Other Factors'!$B$29+'Other Factors'!$C$29+'Other Factors'!$D$29)</f>
        <v>0</v>
      </c>
      <c r="E6" s="54">
        <f>(C6/'Other Factors'!$B$3)</f>
        <v>0</v>
      </c>
      <c r="F6" s="157">
        <f>E6*'Other Factors'!$B$28/(SUM('Other Factors'!$B$28:$D$28))</f>
        <v>0</v>
      </c>
      <c r="G6" s="157">
        <f>E6*'Other Factors'!$C$28/(SUM('Other Factors'!$B$28:$D$28))</f>
        <v>0</v>
      </c>
      <c r="H6" s="157">
        <f>E6*'Other Factors'!$D$28/(SUM('Other Factors'!$B$28:$D$28))</f>
        <v>0</v>
      </c>
      <c r="I6" s="54">
        <f>D6/('Other Factors'!$B$4*'Other Factors'!$B$5)</f>
        <v>0</v>
      </c>
      <c r="J6" s="54">
        <f>I6*'Other Factors'!$B$29/(SUM('Other Factors'!$B$29:$D$29))</f>
        <v>0</v>
      </c>
      <c r="K6" s="158">
        <f>I6*'Other Factors'!$C$29/(SUM('Other Factors'!$B$29:$D$29))</f>
        <v>0</v>
      </c>
      <c r="L6" s="159">
        <f>I6*'Other Factors'!$D$29/(SUM('Other Factors'!$B$29:$D$29))</f>
        <v>0</v>
      </c>
    </row>
    <row r="7" spans="1:12" x14ac:dyDescent="0.25">
      <c r="A7" s="12">
        <v>2018</v>
      </c>
      <c r="B7" s="54">
        <v>0</v>
      </c>
      <c r="C7" s="54">
        <f>B7*('Other Factors'!$B$28+'Other Factors'!$C$28+'Other Factors'!$D$28)</f>
        <v>0</v>
      </c>
      <c r="D7" s="54">
        <f>B7*('Other Factors'!$B$29+'Other Factors'!$C$29+'Other Factors'!$D$29)</f>
        <v>0</v>
      </c>
      <c r="E7" s="54">
        <f>(C7/'Other Factors'!$B$3)</f>
        <v>0</v>
      </c>
      <c r="F7" s="157">
        <f>E7*'Other Factors'!$B$28/(SUM('Other Factors'!$B$28:$D$28))</f>
        <v>0</v>
      </c>
      <c r="G7" s="157">
        <f>E7*'Other Factors'!$C$28/(SUM('Other Factors'!$B$28:$D$28))</f>
        <v>0</v>
      </c>
      <c r="H7" s="157">
        <f>E7*'Other Factors'!$D$28/(SUM('Other Factors'!$B$28:$D$28))</f>
        <v>0</v>
      </c>
      <c r="I7" s="54">
        <f>D7/('Other Factors'!$B$4*'Other Factors'!$B$5)</f>
        <v>0</v>
      </c>
      <c r="J7" s="54">
        <f>I7*'Other Factors'!$B$29/(SUM('Other Factors'!$B$29:$D$29))</f>
        <v>0</v>
      </c>
      <c r="K7" s="158">
        <f>I7*'Other Factors'!$C$29/(SUM('Other Factors'!$B$29:$D$29))</f>
        <v>0</v>
      </c>
      <c r="L7" s="159">
        <f>I7*'Other Factors'!$D$29/(SUM('Other Factors'!$B$29:$D$29))</f>
        <v>0</v>
      </c>
    </row>
    <row r="8" spans="1:12" x14ac:dyDescent="0.25">
      <c r="A8" s="12">
        <v>2019</v>
      </c>
      <c r="B8" s="54">
        <v>0</v>
      </c>
      <c r="C8" s="54">
        <f>B8*('Other Factors'!$B$28+'Other Factors'!$C$28+'Other Factors'!$D$28)</f>
        <v>0</v>
      </c>
      <c r="D8" s="54">
        <f>B8*('Other Factors'!$B$29+'Other Factors'!$C$29+'Other Factors'!$D$29)</f>
        <v>0</v>
      </c>
      <c r="E8" s="54">
        <f>(C8/'Other Factors'!$B$3)</f>
        <v>0</v>
      </c>
      <c r="F8" s="157">
        <f>E8*'Other Factors'!$B$28/(SUM('Other Factors'!$B$28:$D$28))</f>
        <v>0</v>
      </c>
      <c r="G8" s="157">
        <f>E8*'Other Factors'!$C$28/(SUM('Other Factors'!$B$28:$D$28))</f>
        <v>0</v>
      </c>
      <c r="H8" s="157">
        <f>E8*'Other Factors'!$D$28/(SUM('Other Factors'!$B$28:$D$28))</f>
        <v>0</v>
      </c>
      <c r="I8" s="54">
        <f>D8/('Other Factors'!$B$4*'Other Factors'!$B$5)</f>
        <v>0</v>
      </c>
      <c r="J8" s="54">
        <f>I8*'Other Factors'!$B$29/(SUM('Other Factors'!$B$29:$D$29))</f>
        <v>0</v>
      </c>
      <c r="K8" s="158">
        <f>I8*'Other Factors'!$C$29/(SUM('Other Factors'!$B$29:$D$29))</f>
        <v>0</v>
      </c>
      <c r="L8" s="159">
        <f>I8*'Other Factors'!$D$29/(SUM('Other Factors'!$B$29:$D$29))</f>
        <v>0</v>
      </c>
    </row>
    <row r="9" spans="1:12" x14ac:dyDescent="0.25">
      <c r="A9" s="12">
        <v>2020</v>
      </c>
      <c r="B9" s="54">
        <v>0</v>
      </c>
      <c r="C9" s="54">
        <f>B9*('Other Factors'!$B$28+'Other Factors'!$C$28+'Other Factors'!$D$28)</f>
        <v>0</v>
      </c>
      <c r="D9" s="54">
        <f>B9*('Other Factors'!$B$29+'Other Factors'!$C$29+'Other Factors'!$D$29)</f>
        <v>0</v>
      </c>
      <c r="E9" s="54">
        <f>(C9/'Other Factors'!$B$3)</f>
        <v>0</v>
      </c>
      <c r="F9" s="157">
        <f>E9*'Other Factors'!$B$28/(SUM('Other Factors'!$B$28:$D$28))</f>
        <v>0</v>
      </c>
      <c r="G9" s="157">
        <f>E9*'Other Factors'!$C$28/(SUM('Other Factors'!$B$28:$D$28))</f>
        <v>0</v>
      </c>
      <c r="H9" s="157">
        <f>E9*'Other Factors'!$D$28/(SUM('Other Factors'!$B$28:$D$28))</f>
        <v>0</v>
      </c>
      <c r="I9" s="54">
        <f>D9/('Other Factors'!$B$4*'Other Factors'!$B$5)</f>
        <v>0</v>
      </c>
      <c r="J9" s="54">
        <f>I9*'Other Factors'!$B$29/(SUM('Other Factors'!$B$29:$D$29))</f>
        <v>0</v>
      </c>
      <c r="K9" s="158">
        <f>I9*'Other Factors'!$C$29/(SUM('Other Factors'!$B$29:$D$29))</f>
        <v>0</v>
      </c>
      <c r="L9" s="159">
        <f>I9*'Other Factors'!$D$29/(SUM('Other Factors'!$B$29:$D$29))</f>
        <v>0</v>
      </c>
    </row>
    <row r="10" spans="1:12" x14ac:dyDescent="0.25">
      <c r="A10" s="12">
        <v>2021</v>
      </c>
      <c r="B10" s="54">
        <v>0</v>
      </c>
      <c r="C10" s="54">
        <f>B10*('Other Factors'!$B$28+'Other Factors'!$C$28+'Other Factors'!$D$28)</f>
        <v>0</v>
      </c>
      <c r="D10" s="54">
        <f>B10*('Other Factors'!$B$29+'Other Factors'!$C$29+'Other Factors'!$D$29)</f>
        <v>0</v>
      </c>
      <c r="E10" s="54">
        <f>(C10/'Other Factors'!$B$3)</f>
        <v>0</v>
      </c>
      <c r="F10" s="157">
        <f>E10*'Other Factors'!$B$28/(SUM('Other Factors'!$B$28:$D$28))</f>
        <v>0</v>
      </c>
      <c r="G10" s="157">
        <f>E10*'Other Factors'!$C$28/(SUM('Other Factors'!$B$28:$D$28))</f>
        <v>0</v>
      </c>
      <c r="H10" s="157">
        <f>E10*'Other Factors'!$D$28/(SUM('Other Factors'!$B$28:$D$28))</f>
        <v>0</v>
      </c>
      <c r="I10" s="54">
        <f>D10/('Other Factors'!$B$4*'Other Factors'!$B$5)</f>
        <v>0</v>
      </c>
      <c r="J10" s="54">
        <f>I10*'Other Factors'!$B$29/(SUM('Other Factors'!$B$29:$D$29))</f>
        <v>0</v>
      </c>
      <c r="K10" s="158">
        <f>I10*'Other Factors'!$C$29/(SUM('Other Factors'!$B$29:$D$29))</f>
        <v>0</v>
      </c>
      <c r="L10" s="159">
        <f>I10*'Other Factors'!$D$29/(SUM('Other Factors'!$B$29:$D$29))</f>
        <v>0</v>
      </c>
    </row>
    <row r="11" spans="1:12" x14ac:dyDescent="0.25">
      <c r="A11" s="12">
        <v>2022</v>
      </c>
      <c r="B11" s="54">
        <f>50000</f>
        <v>50000</v>
      </c>
      <c r="C11" s="54">
        <f>B11*('Other Factors'!$B$28+'Other Factors'!$C$28+'Other Factors'!$D$28)</f>
        <v>43799.999999999993</v>
      </c>
      <c r="D11" s="54">
        <f>B11*('Other Factors'!$B$29+'Other Factors'!$C$29+'Other Factors'!$D$29)</f>
        <v>6200</v>
      </c>
      <c r="E11" s="54">
        <f>(C11/'Other Factors'!$B$3)</f>
        <v>21899.999999999996</v>
      </c>
      <c r="F11" s="157">
        <f>E11*'Other Factors'!$B$28/(SUM('Other Factors'!$B$28:$D$28))</f>
        <v>15329.999999999998</v>
      </c>
      <c r="G11" s="157">
        <f>E11*'Other Factors'!$C$28/(SUM('Other Factors'!$B$28:$D$28))</f>
        <v>5475</v>
      </c>
      <c r="H11" s="157">
        <f>E11*'Other Factors'!$D$28/(SUM('Other Factors'!$B$28:$D$28))</f>
        <v>1095</v>
      </c>
      <c r="I11" s="54">
        <f>D11/('Other Factors'!$B$4*'Other Factors'!$B$5)</f>
        <v>13.691666666666665</v>
      </c>
      <c r="J11" s="54">
        <f>I11*'Other Factors'!$B$29/(SUM('Other Factors'!$B$29:$D$29))</f>
        <v>0</v>
      </c>
      <c r="K11" s="158">
        <f>I11*'Other Factors'!$C$29/(SUM('Other Factors'!$B$29:$D$29))</f>
        <v>0</v>
      </c>
      <c r="L11" s="159">
        <f>I11*'Other Factors'!$D$29/(SUM('Other Factors'!$B$29:$D$29))</f>
        <v>13.691666666666665</v>
      </c>
    </row>
    <row r="12" spans="1:12" x14ac:dyDescent="0.25">
      <c r="A12" s="12">
        <v>2023</v>
      </c>
      <c r="B12" s="54">
        <f>100000</f>
        <v>100000</v>
      </c>
      <c r="C12" s="54">
        <f>B12*('Other Factors'!$B$28+'Other Factors'!$C$28+'Other Factors'!$D$28)</f>
        <v>87599.999999999985</v>
      </c>
      <c r="D12" s="54">
        <f>B12*('Other Factors'!$B$29+'Other Factors'!$C$29+'Other Factors'!$D$29)</f>
        <v>12400</v>
      </c>
      <c r="E12" s="54">
        <f>(C12/'Other Factors'!$B$3)</f>
        <v>43799.999999999993</v>
      </c>
      <c r="F12" s="157">
        <f>E12*'Other Factors'!$B$28/(SUM('Other Factors'!$B$28:$D$28))</f>
        <v>30659.999999999996</v>
      </c>
      <c r="G12" s="157">
        <f>E12*'Other Factors'!$C$28/(SUM('Other Factors'!$B$28:$D$28))</f>
        <v>10950</v>
      </c>
      <c r="H12" s="157">
        <f>E12*'Other Factors'!$D$28/(SUM('Other Factors'!$B$28:$D$28))</f>
        <v>2190</v>
      </c>
      <c r="I12" s="54">
        <f>D12/('Other Factors'!$B$4*'Other Factors'!$B$5)</f>
        <v>27.383333333333329</v>
      </c>
      <c r="J12" s="54">
        <f>I12*'Other Factors'!$B$29/(SUM('Other Factors'!$B$29:$D$29))</f>
        <v>0</v>
      </c>
      <c r="K12" s="158">
        <f>I12*'Other Factors'!$C$29/(SUM('Other Factors'!$B$29:$D$29))</f>
        <v>0</v>
      </c>
      <c r="L12" s="159">
        <f>I12*'Other Factors'!$D$29/(SUM('Other Factors'!$B$29:$D$29))</f>
        <v>27.383333333333329</v>
      </c>
    </row>
    <row r="13" spans="1:12" x14ac:dyDescent="0.25">
      <c r="A13" s="12">
        <v>2024</v>
      </c>
      <c r="B13" s="54">
        <f>150000</f>
        <v>150000</v>
      </c>
      <c r="C13" s="54">
        <f>B13*('Other Factors'!$B$28+'Other Factors'!$C$28+'Other Factors'!$D$28)</f>
        <v>131399.99999999997</v>
      </c>
      <c r="D13" s="54">
        <f>B13*('Other Factors'!$B$29+'Other Factors'!$C$29+'Other Factors'!$D$29)</f>
        <v>18600</v>
      </c>
      <c r="E13" s="54">
        <f>(C13/'Other Factors'!$B$3)</f>
        <v>65699.999999999985</v>
      </c>
      <c r="F13" s="157">
        <f>E13*'Other Factors'!$B$28/(SUM('Other Factors'!$B$28:$D$28))</f>
        <v>45989.999999999993</v>
      </c>
      <c r="G13" s="157">
        <f>E13*'Other Factors'!$C$28/(SUM('Other Factors'!$B$28:$D$28))</f>
        <v>16425</v>
      </c>
      <c r="H13" s="157">
        <f>E13*'Other Factors'!$D$28/(SUM('Other Factors'!$B$28:$D$28))</f>
        <v>3285.0000000000005</v>
      </c>
      <c r="I13" s="54">
        <f>D13/('Other Factors'!$B$4*'Other Factors'!$B$5)</f>
        <v>41.074999999999996</v>
      </c>
      <c r="J13" s="54">
        <f>I13*'Other Factors'!$B$29/(SUM('Other Factors'!$B$29:$D$29))</f>
        <v>0</v>
      </c>
      <c r="K13" s="158">
        <f>I13*'Other Factors'!$C$29/(SUM('Other Factors'!$B$29:$D$29))</f>
        <v>0</v>
      </c>
      <c r="L13" s="159">
        <f>I13*'Other Factors'!$D$29/(SUM('Other Factors'!$B$29:$D$29))</f>
        <v>41.074999999999996</v>
      </c>
    </row>
    <row r="14" spans="1:12" x14ac:dyDescent="0.25">
      <c r="A14" s="12">
        <v>2025</v>
      </c>
      <c r="B14" s="54">
        <f>200000</f>
        <v>200000</v>
      </c>
      <c r="C14" s="54">
        <f>B14*('Other Factors'!$B$28+'Other Factors'!$C$28+'Other Factors'!$D$28)</f>
        <v>175199.99999999997</v>
      </c>
      <c r="D14" s="54">
        <f>B14*('Other Factors'!$B$29+'Other Factors'!$C$29+'Other Factors'!$D$29)</f>
        <v>24800</v>
      </c>
      <c r="E14" s="54">
        <f>(C14/'Other Factors'!$B$3)</f>
        <v>87599.999999999985</v>
      </c>
      <c r="F14" s="157">
        <f>E14*'Other Factors'!$B$28/(SUM('Other Factors'!$B$28:$D$28))</f>
        <v>61319.999999999993</v>
      </c>
      <c r="G14" s="157">
        <f>E14*'Other Factors'!$C$28/(SUM('Other Factors'!$B$28:$D$28))</f>
        <v>21900</v>
      </c>
      <c r="H14" s="157">
        <f>E14*'Other Factors'!$D$28/(SUM('Other Factors'!$B$28:$D$28))</f>
        <v>4380</v>
      </c>
      <c r="I14" s="54">
        <f>D14/('Other Factors'!$B$4*'Other Factors'!$B$5)</f>
        <v>54.766666666666659</v>
      </c>
      <c r="J14" s="54">
        <f>I14*'Other Factors'!$B$29/(SUM('Other Factors'!$B$29:$D$29))</f>
        <v>0</v>
      </c>
      <c r="K14" s="158">
        <f>I14*'Other Factors'!$C$29/(SUM('Other Factors'!$B$29:$D$29))</f>
        <v>0</v>
      </c>
      <c r="L14" s="159">
        <f>I14*'Other Factors'!$D$29/(SUM('Other Factors'!$B$29:$D$29))</f>
        <v>54.766666666666659</v>
      </c>
    </row>
    <row r="15" spans="1:12" x14ac:dyDescent="0.25">
      <c r="A15" s="12">
        <v>2026</v>
      </c>
      <c r="B15" s="54">
        <f>250000</f>
        <v>250000</v>
      </c>
      <c r="C15" s="54">
        <f>B15*('Other Factors'!$B$28+'Other Factors'!$C$28+'Other Factors'!$D$28)</f>
        <v>218999.99999999997</v>
      </c>
      <c r="D15" s="54">
        <f>B15*('Other Factors'!$B$29+'Other Factors'!$C$29+'Other Factors'!$D$29)</f>
        <v>31000</v>
      </c>
      <c r="E15" s="54">
        <f>(C15/'Other Factors'!$B$3)</f>
        <v>109499.99999999999</v>
      </c>
      <c r="F15" s="157">
        <f>E15*'Other Factors'!$B$28/(SUM('Other Factors'!$B$28:$D$28))</f>
        <v>76650</v>
      </c>
      <c r="G15" s="157">
        <f>E15*'Other Factors'!$C$28/(SUM('Other Factors'!$B$28:$D$28))</f>
        <v>27375</v>
      </c>
      <c r="H15" s="157">
        <f>E15*'Other Factors'!$D$28/(SUM('Other Factors'!$B$28:$D$28))</f>
        <v>5475.0000000000009</v>
      </c>
      <c r="I15" s="54">
        <f>D15/('Other Factors'!$B$4*'Other Factors'!$B$5)</f>
        <v>68.458333333333329</v>
      </c>
      <c r="J15" s="54">
        <f>I15*'Other Factors'!$B$29/(SUM('Other Factors'!$B$29:$D$29))</f>
        <v>0</v>
      </c>
      <c r="K15" s="158">
        <f>I15*'Other Factors'!$C$29/(SUM('Other Factors'!$B$29:$D$29))</f>
        <v>0</v>
      </c>
      <c r="L15" s="159">
        <f>I15*'Other Factors'!$D$29/(SUM('Other Factors'!$B$29:$D$29))</f>
        <v>68.458333333333329</v>
      </c>
    </row>
    <row r="16" spans="1:12" x14ac:dyDescent="0.25">
      <c r="A16" s="12">
        <v>2027</v>
      </c>
      <c r="B16" s="54">
        <f>300000</f>
        <v>300000</v>
      </c>
      <c r="C16" s="54">
        <f>B16*('Other Factors'!$B$28+'Other Factors'!$C$28+'Other Factors'!$D$28)</f>
        <v>262799.99999999994</v>
      </c>
      <c r="D16" s="54">
        <f>B16*('Other Factors'!$B$29+'Other Factors'!$C$29+'Other Factors'!$D$29)</f>
        <v>37200</v>
      </c>
      <c r="E16" s="54">
        <f>(C16/'Other Factors'!$B$3)</f>
        <v>131399.99999999997</v>
      </c>
      <c r="F16" s="157">
        <f>E16*'Other Factors'!$B$28/(SUM('Other Factors'!$B$28:$D$28))</f>
        <v>91979.999999999985</v>
      </c>
      <c r="G16" s="157">
        <f>E16*'Other Factors'!$C$28/(SUM('Other Factors'!$B$28:$D$28))</f>
        <v>32850</v>
      </c>
      <c r="H16" s="157">
        <f>E16*'Other Factors'!$D$28/(SUM('Other Factors'!$B$28:$D$28))</f>
        <v>6570.0000000000009</v>
      </c>
      <c r="I16" s="54">
        <f>D16/('Other Factors'!$B$4*'Other Factors'!$B$5)</f>
        <v>82.149999999999991</v>
      </c>
      <c r="J16" s="54">
        <f>I16*'Other Factors'!$B$29/(SUM('Other Factors'!$B$29:$D$29))</f>
        <v>0</v>
      </c>
      <c r="K16" s="158">
        <f>I16*'Other Factors'!$C$29/(SUM('Other Factors'!$B$29:$D$29))</f>
        <v>0</v>
      </c>
      <c r="L16" s="159">
        <f>I16*'Other Factors'!$D$29/(SUM('Other Factors'!$B$29:$D$29))</f>
        <v>82.149999999999991</v>
      </c>
    </row>
    <row r="17" spans="1:12" x14ac:dyDescent="0.25">
      <c r="A17" s="12">
        <v>2028</v>
      </c>
      <c r="B17" s="54">
        <f>400000</f>
        <v>400000</v>
      </c>
      <c r="C17" s="54">
        <f>B17*('Other Factors'!$B$28+'Other Factors'!$C$28+'Other Factors'!$D$28)</f>
        <v>350399.99999999994</v>
      </c>
      <c r="D17" s="54">
        <f>B17*('Other Factors'!$B$29+'Other Factors'!$C$29+'Other Factors'!$D$29)</f>
        <v>49600</v>
      </c>
      <c r="E17" s="54">
        <f>(C17/'Other Factors'!$B$3)</f>
        <v>175199.99999999997</v>
      </c>
      <c r="F17" s="157">
        <f>E17*'Other Factors'!$B$28/(SUM('Other Factors'!$B$28:$D$28))</f>
        <v>122639.99999999999</v>
      </c>
      <c r="G17" s="157">
        <f>E17*'Other Factors'!$C$28/(SUM('Other Factors'!$B$28:$D$28))</f>
        <v>43800</v>
      </c>
      <c r="H17" s="157">
        <f>E17*'Other Factors'!$D$28/(SUM('Other Factors'!$B$28:$D$28))</f>
        <v>8760</v>
      </c>
      <c r="I17" s="54">
        <f>D17/('Other Factors'!$B$4*'Other Factors'!$B$5)</f>
        <v>109.53333333333332</v>
      </c>
      <c r="J17" s="54">
        <f>I17*'Other Factors'!$B$29/(SUM('Other Factors'!$B$29:$D$29))</f>
        <v>0</v>
      </c>
      <c r="K17" s="158">
        <f>I17*'Other Factors'!$C$29/(SUM('Other Factors'!$B$29:$D$29))</f>
        <v>0</v>
      </c>
      <c r="L17" s="159">
        <f>I17*'Other Factors'!$D$29/(SUM('Other Factors'!$B$29:$D$29))</f>
        <v>109.53333333333332</v>
      </c>
    </row>
    <row r="18" spans="1:12" x14ac:dyDescent="0.25">
      <c r="A18" s="12">
        <v>2029</v>
      </c>
      <c r="B18" s="54">
        <f>500000</f>
        <v>500000</v>
      </c>
      <c r="C18" s="54">
        <f>B18*('Other Factors'!$B$28+'Other Factors'!$C$28+'Other Factors'!$D$28)</f>
        <v>437999.99999999994</v>
      </c>
      <c r="D18" s="54">
        <f>B18*('Other Factors'!$B$29+'Other Factors'!$C$29+'Other Factors'!$D$29)</f>
        <v>62000</v>
      </c>
      <c r="E18" s="54">
        <f>(C18/'Other Factors'!$B$3)</f>
        <v>218999.99999999997</v>
      </c>
      <c r="F18" s="157">
        <f>E18*'Other Factors'!$B$28/(SUM('Other Factors'!$B$28:$D$28))</f>
        <v>153300</v>
      </c>
      <c r="G18" s="157">
        <f>E18*'Other Factors'!$C$28/(SUM('Other Factors'!$B$28:$D$28))</f>
        <v>54750</v>
      </c>
      <c r="H18" s="157">
        <f>E18*'Other Factors'!$D$28/(SUM('Other Factors'!$B$28:$D$28))</f>
        <v>10950.000000000002</v>
      </c>
      <c r="I18" s="54">
        <f>D18/('Other Factors'!$B$4*'Other Factors'!$B$5)</f>
        <v>136.91666666666666</v>
      </c>
      <c r="J18" s="54">
        <f>I18*'Other Factors'!$B$29/(SUM('Other Factors'!$B$29:$D$29))</f>
        <v>0</v>
      </c>
      <c r="K18" s="158">
        <f>I18*'Other Factors'!$C$29/(SUM('Other Factors'!$B$29:$D$29))</f>
        <v>0</v>
      </c>
      <c r="L18" s="159">
        <f>I18*'Other Factors'!$D$29/(SUM('Other Factors'!$B$29:$D$29))</f>
        <v>136.91666666666666</v>
      </c>
    </row>
    <row r="19" spans="1:12" x14ac:dyDescent="0.25">
      <c r="A19" s="12">
        <v>2030</v>
      </c>
      <c r="B19" s="54">
        <f>600000</f>
        <v>600000</v>
      </c>
      <c r="C19" s="54">
        <f>B19*('Other Factors'!$B$28+'Other Factors'!$C$28+'Other Factors'!$D$28)</f>
        <v>525599.99999999988</v>
      </c>
      <c r="D19" s="54">
        <f>B19*('Other Factors'!$B$29+'Other Factors'!$C$29+'Other Factors'!$D$29)</f>
        <v>74400</v>
      </c>
      <c r="E19" s="54">
        <f>(C19/'Other Factors'!$B$3)</f>
        <v>262799.99999999994</v>
      </c>
      <c r="F19" s="157">
        <f>E19*'Other Factors'!$B$28/(SUM('Other Factors'!$B$28:$D$28))</f>
        <v>183959.99999999997</v>
      </c>
      <c r="G19" s="157">
        <f>E19*'Other Factors'!$C$28/(SUM('Other Factors'!$B$28:$D$28))</f>
        <v>65700</v>
      </c>
      <c r="H19" s="157">
        <f>E19*'Other Factors'!$D$28/(SUM('Other Factors'!$B$28:$D$28))</f>
        <v>13140.000000000002</v>
      </c>
      <c r="I19" s="54">
        <f>D19/('Other Factors'!$B$4*'Other Factors'!$B$5)</f>
        <v>164.29999999999998</v>
      </c>
      <c r="J19" s="54">
        <f>I19*'Other Factors'!$B$29/(SUM('Other Factors'!$B$29:$D$29))</f>
        <v>0</v>
      </c>
      <c r="K19" s="158">
        <f>I19*'Other Factors'!$C$29/(SUM('Other Factors'!$B$29:$D$29))</f>
        <v>0</v>
      </c>
      <c r="L19" s="159">
        <f>I19*'Other Factors'!$D$29/(SUM('Other Factors'!$B$29:$D$29))</f>
        <v>164.29999999999998</v>
      </c>
    </row>
    <row r="20" spans="1:12" x14ac:dyDescent="0.25">
      <c r="A20" s="12">
        <v>2031</v>
      </c>
      <c r="B20" s="54">
        <f>730000</f>
        <v>730000</v>
      </c>
      <c r="C20" s="54">
        <f>B20*('Other Factors'!$B$28+'Other Factors'!$C$28+'Other Factors'!$D$28)</f>
        <v>639479.99999999988</v>
      </c>
      <c r="D20" s="54">
        <f>B20*('Other Factors'!$B$29+'Other Factors'!$C$29+'Other Factors'!$D$29)</f>
        <v>90520</v>
      </c>
      <c r="E20" s="54">
        <f>(C20/'Other Factors'!$B$3)</f>
        <v>319739.99999999994</v>
      </c>
      <c r="F20" s="157">
        <f>E20*'Other Factors'!$B$28/(SUM('Other Factors'!$B$28:$D$28))</f>
        <v>223817.99999999997</v>
      </c>
      <c r="G20" s="157">
        <f>E20*'Other Factors'!$C$28/(SUM('Other Factors'!$B$28:$D$28))</f>
        <v>79934.999999999985</v>
      </c>
      <c r="H20" s="157">
        <f>E20*'Other Factors'!$D$28/(SUM('Other Factors'!$B$28:$D$28))</f>
        <v>15987.000000000002</v>
      </c>
      <c r="I20" s="54">
        <f>D20/('Other Factors'!$B$4*'Other Factors'!$B$5)</f>
        <v>199.89833333333331</v>
      </c>
      <c r="J20" s="54">
        <f>I20*'Other Factors'!$B$29/(SUM('Other Factors'!$B$29:$D$29))</f>
        <v>0</v>
      </c>
      <c r="K20" s="158">
        <f>I20*'Other Factors'!$C$29/(SUM('Other Factors'!$B$29:$D$29))</f>
        <v>0</v>
      </c>
      <c r="L20" s="159">
        <f>I20*'Other Factors'!$D$29/(SUM('Other Factors'!$B$29:$D$29))</f>
        <v>199.89833333333331</v>
      </c>
    </row>
    <row r="21" spans="1:12" x14ac:dyDescent="0.25">
      <c r="A21" s="12">
        <v>2032</v>
      </c>
      <c r="B21" s="54">
        <f t="shared" ref="B21:B39" si="0">B20</f>
        <v>730000</v>
      </c>
      <c r="C21" s="54">
        <f>B21*('Other Factors'!$B$28+'Other Factors'!$C$28+'Other Factors'!$D$28)</f>
        <v>639479.99999999988</v>
      </c>
      <c r="D21" s="54">
        <f>B21*('Other Factors'!$B$29+'Other Factors'!$C$29+'Other Factors'!$D$29)</f>
        <v>90520</v>
      </c>
      <c r="E21" s="54">
        <f>(C21/'Other Factors'!$B$3)</f>
        <v>319739.99999999994</v>
      </c>
      <c r="F21" s="157">
        <f>E21*'Other Factors'!$B$28/(SUM('Other Factors'!$B$28:$D$28))</f>
        <v>223817.99999999997</v>
      </c>
      <c r="G21" s="157">
        <f>E21*'Other Factors'!$C$28/(SUM('Other Factors'!$B$28:$D$28))</f>
        <v>79934.999999999985</v>
      </c>
      <c r="H21" s="157">
        <f>E21*'Other Factors'!$D$28/(SUM('Other Factors'!$B$28:$D$28))</f>
        <v>15987.000000000002</v>
      </c>
      <c r="I21" s="54">
        <f>D21/('Other Factors'!$B$4*'Other Factors'!$B$5)</f>
        <v>199.89833333333331</v>
      </c>
      <c r="J21" s="54">
        <f>I21*'Other Factors'!$B$29/(SUM('Other Factors'!$B$29:$D$29))</f>
        <v>0</v>
      </c>
      <c r="K21" s="158">
        <f>I21*'Other Factors'!$C$29/(SUM('Other Factors'!$B$29:$D$29))</f>
        <v>0</v>
      </c>
      <c r="L21" s="159">
        <f>I21*'Other Factors'!$D$29/(SUM('Other Factors'!$B$29:$D$29))</f>
        <v>199.89833333333331</v>
      </c>
    </row>
    <row r="22" spans="1:12" x14ac:dyDescent="0.25">
      <c r="A22" s="12">
        <v>2033</v>
      </c>
      <c r="B22" s="54">
        <f t="shared" si="0"/>
        <v>730000</v>
      </c>
      <c r="C22" s="54">
        <f>B22*('Other Factors'!$B$28+'Other Factors'!$C$28+'Other Factors'!$D$28)</f>
        <v>639479.99999999988</v>
      </c>
      <c r="D22" s="54">
        <f>B22*('Other Factors'!$B$29+'Other Factors'!$C$29+'Other Factors'!$D$29)</f>
        <v>90520</v>
      </c>
      <c r="E22" s="54">
        <f>(C22/'Other Factors'!$B$3)</f>
        <v>319739.99999999994</v>
      </c>
      <c r="F22" s="157">
        <f>E22*'Other Factors'!$B$28/(SUM('Other Factors'!$B$28:$D$28))</f>
        <v>223817.99999999997</v>
      </c>
      <c r="G22" s="157">
        <f>E22*'Other Factors'!$C$28/(SUM('Other Factors'!$B$28:$D$28))</f>
        <v>79934.999999999985</v>
      </c>
      <c r="H22" s="157">
        <f>E22*'Other Factors'!$D$28/(SUM('Other Factors'!$B$28:$D$28))</f>
        <v>15987.000000000002</v>
      </c>
      <c r="I22" s="54">
        <f>D22/('Other Factors'!$B$4*'Other Factors'!$B$5)</f>
        <v>199.89833333333331</v>
      </c>
      <c r="J22" s="54">
        <f>I22*'Other Factors'!$B$29/(SUM('Other Factors'!$B$29:$D$29))</f>
        <v>0</v>
      </c>
      <c r="K22" s="158">
        <f>I22*'Other Factors'!$C$29/(SUM('Other Factors'!$B$29:$D$29))</f>
        <v>0</v>
      </c>
      <c r="L22" s="159">
        <f>I22*'Other Factors'!$D$29/(SUM('Other Factors'!$B$29:$D$29))</f>
        <v>199.89833333333331</v>
      </c>
    </row>
    <row r="23" spans="1:12" x14ac:dyDescent="0.25">
      <c r="A23" s="12">
        <v>2034</v>
      </c>
      <c r="B23" s="54">
        <f t="shared" si="0"/>
        <v>730000</v>
      </c>
      <c r="C23" s="54">
        <f>B23*('Other Factors'!$B$28+'Other Factors'!$C$28+'Other Factors'!$D$28)</f>
        <v>639479.99999999988</v>
      </c>
      <c r="D23" s="54">
        <f>B23*('Other Factors'!$B$29+'Other Factors'!$C$29+'Other Factors'!$D$29)</f>
        <v>90520</v>
      </c>
      <c r="E23" s="54">
        <f>(C23/'Other Factors'!$B$3)</f>
        <v>319739.99999999994</v>
      </c>
      <c r="F23" s="157">
        <f>E23*'Other Factors'!$B$28/(SUM('Other Factors'!$B$28:$D$28))</f>
        <v>223817.99999999997</v>
      </c>
      <c r="G23" s="157">
        <f>E23*'Other Factors'!$C$28/(SUM('Other Factors'!$B$28:$D$28))</f>
        <v>79934.999999999985</v>
      </c>
      <c r="H23" s="157">
        <f>E23*'Other Factors'!$D$28/(SUM('Other Factors'!$B$28:$D$28))</f>
        <v>15987.000000000002</v>
      </c>
      <c r="I23" s="54">
        <f>D23/('Other Factors'!$B$4*'Other Factors'!$B$5)</f>
        <v>199.89833333333331</v>
      </c>
      <c r="J23" s="54">
        <f>I23*'Other Factors'!$B$29/(SUM('Other Factors'!$B$29:$D$29))</f>
        <v>0</v>
      </c>
      <c r="K23" s="158">
        <f>I23*'Other Factors'!$C$29/(SUM('Other Factors'!$B$29:$D$29))</f>
        <v>0</v>
      </c>
      <c r="L23" s="159">
        <f>I23*'Other Factors'!$D$29/(SUM('Other Factors'!$B$29:$D$29))</f>
        <v>199.89833333333331</v>
      </c>
    </row>
    <row r="24" spans="1:12" x14ac:dyDescent="0.25">
      <c r="A24" s="12">
        <v>2035</v>
      </c>
      <c r="B24" s="54">
        <f t="shared" si="0"/>
        <v>730000</v>
      </c>
      <c r="C24" s="54">
        <f>B24*('Other Factors'!$B$28+'Other Factors'!$C$28+'Other Factors'!$D$28)</f>
        <v>639479.99999999988</v>
      </c>
      <c r="D24" s="54">
        <f>B24*('Other Factors'!$B$29+'Other Factors'!$C$29+'Other Factors'!$D$29)</f>
        <v>90520</v>
      </c>
      <c r="E24" s="54">
        <f>(C24/'Other Factors'!$B$3)</f>
        <v>319739.99999999994</v>
      </c>
      <c r="F24" s="157">
        <f>E24*'Other Factors'!$B$28/(SUM('Other Factors'!$B$28:$D$28))</f>
        <v>223817.99999999997</v>
      </c>
      <c r="G24" s="157">
        <f>E24*'Other Factors'!$C$28/(SUM('Other Factors'!$B$28:$D$28))</f>
        <v>79934.999999999985</v>
      </c>
      <c r="H24" s="157">
        <f>E24*'Other Factors'!$D$28/(SUM('Other Factors'!$B$28:$D$28))</f>
        <v>15987.000000000002</v>
      </c>
      <c r="I24" s="54">
        <f>D24/('Other Factors'!$B$4*'Other Factors'!$B$5)</f>
        <v>199.89833333333331</v>
      </c>
      <c r="J24" s="54">
        <f>I24*'Other Factors'!$B$29/(SUM('Other Factors'!$B$29:$D$29))</f>
        <v>0</v>
      </c>
      <c r="K24" s="158">
        <f>I24*'Other Factors'!$C$29/(SUM('Other Factors'!$B$29:$D$29))</f>
        <v>0</v>
      </c>
      <c r="L24" s="159">
        <f>I24*'Other Factors'!$D$29/(SUM('Other Factors'!$B$29:$D$29))</f>
        <v>199.89833333333331</v>
      </c>
    </row>
    <row r="25" spans="1:12" x14ac:dyDescent="0.25">
      <c r="A25" s="12">
        <v>2036</v>
      </c>
      <c r="B25" s="54">
        <f t="shared" si="0"/>
        <v>730000</v>
      </c>
      <c r="C25" s="54">
        <f>B25*('Other Factors'!$B$28+'Other Factors'!$C$28+'Other Factors'!$D$28)</f>
        <v>639479.99999999988</v>
      </c>
      <c r="D25" s="54">
        <f>B25*('Other Factors'!$B$29+'Other Factors'!$C$29+'Other Factors'!$D$29)</f>
        <v>90520</v>
      </c>
      <c r="E25" s="54">
        <f>(C25/'Other Factors'!$B$3)</f>
        <v>319739.99999999994</v>
      </c>
      <c r="F25" s="157">
        <f>E25*'Other Factors'!$B$28/(SUM('Other Factors'!$B$28:$D$28))</f>
        <v>223817.99999999997</v>
      </c>
      <c r="G25" s="157">
        <f>E25*'Other Factors'!$C$28/(SUM('Other Factors'!$B$28:$D$28))</f>
        <v>79934.999999999985</v>
      </c>
      <c r="H25" s="157">
        <f>E25*'Other Factors'!$D$28/(SUM('Other Factors'!$B$28:$D$28))</f>
        <v>15987.000000000002</v>
      </c>
      <c r="I25" s="54">
        <f>D25/('Other Factors'!$B$4*'Other Factors'!$B$5)</f>
        <v>199.89833333333331</v>
      </c>
      <c r="J25" s="54">
        <f>I25*'Other Factors'!$B$29/(SUM('Other Factors'!$B$29:$D$29))</f>
        <v>0</v>
      </c>
      <c r="K25" s="158">
        <f>I25*'Other Factors'!$C$29/(SUM('Other Factors'!$B$29:$D$29))</f>
        <v>0</v>
      </c>
      <c r="L25" s="159">
        <f>I25*'Other Factors'!$D$29/(SUM('Other Factors'!$B$29:$D$29))</f>
        <v>199.89833333333331</v>
      </c>
    </row>
    <row r="26" spans="1:12" x14ac:dyDescent="0.25">
      <c r="A26" s="12">
        <v>2037</v>
      </c>
      <c r="B26" s="54">
        <f t="shared" si="0"/>
        <v>730000</v>
      </c>
      <c r="C26" s="54">
        <f>B26*('Other Factors'!$B$28+'Other Factors'!$C$28+'Other Factors'!$D$28)</f>
        <v>639479.99999999988</v>
      </c>
      <c r="D26" s="54">
        <f>B26*('Other Factors'!$B$29+'Other Factors'!$C$29+'Other Factors'!$D$29)</f>
        <v>90520</v>
      </c>
      <c r="E26" s="54">
        <f>(C26/'Other Factors'!$B$3)</f>
        <v>319739.99999999994</v>
      </c>
      <c r="F26" s="157">
        <f>E26*'Other Factors'!$B$28/(SUM('Other Factors'!$B$28:$D$28))</f>
        <v>223817.99999999997</v>
      </c>
      <c r="G26" s="157">
        <f>E26*'Other Factors'!$C$28/(SUM('Other Factors'!$B$28:$D$28))</f>
        <v>79934.999999999985</v>
      </c>
      <c r="H26" s="157">
        <f>E26*'Other Factors'!$D$28/(SUM('Other Factors'!$B$28:$D$28))</f>
        <v>15987.000000000002</v>
      </c>
      <c r="I26" s="54">
        <f>D26/('Other Factors'!$B$4*'Other Factors'!$B$5)</f>
        <v>199.89833333333331</v>
      </c>
      <c r="J26" s="54">
        <f>I26*'Other Factors'!$B$29/(SUM('Other Factors'!$B$29:$D$29))</f>
        <v>0</v>
      </c>
      <c r="K26" s="158">
        <f>I26*'Other Factors'!$C$29/(SUM('Other Factors'!$B$29:$D$29))</f>
        <v>0</v>
      </c>
      <c r="L26" s="159">
        <f>I26*'Other Factors'!$D$29/(SUM('Other Factors'!$B$29:$D$29))</f>
        <v>199.89833333333331</v>
      </c>
    </row>
    <row r="27" spans="1:12" x14ac:dyDescent="0.25">
      <c r="A27" s="12">
        <v>2038</v>
      </c>
      <c r="B27" s="54">
        <f t="shared" si="0"/>
        <v>730000</v>
      </c>
      <c r="C27" s="54">
        <f>B27*('Other Factors'!$B$28+'Other Factors'!$C$28+'Other Factors'!$D$28)</f>
        <v>639479.99999999988</v>
      </c>
      <c r="D27" s="54">
        <f>B27*('Other Factors'!$B$29+'Other Factors'!$C$29+'Other Factors'!$D$29)</f>
        <v>90520</v>
      </c>
      <c r="E27" s="54">
        <f>(C27/'Other Factors'!$B$3)</f>
        <v>319739.99999999994</v>
      </c>
      <c r="F27" s="157">
        <f>E27*'Other Factors'!$B$28/(SUM('Other Factors'!$B$28:$D$28))</f>
        <v>223817.99999999997</v>
      </c>
      <c r="G27" s="157">
        <f>E27*'Other Factors'!$C$28/(SUM('Other Factors'!$B$28:$D$28))</f>
        <v>79934.999999999985</v>
      </c>
      <c r="H27" s="157">
        <f>E27*'Other Factors'!$D$28/(SUM('Other Factors'!$B$28:$D$28))</f>
        <v>15987.000000000002</v>
      </c>
      <c r="I27" s="54">
        <f>D27/('Other Factors'!$B$4*'Other Factors'!$B$5)</f>
        <v>199.89833333333331</v>
      </c>
      <c r="J27" s="54">
        <f>I27*'Other Factors'!$B$29/(SUM('Other Factors'!$B$29:$D$29))</f>
        <v>0</v>
      </c>
      <c r="K27" s="158">
        <f>I27*'Other Factors'!$C$29/(SUM('Other Factors'!$B$29:$D$29))</f>
        <v>0</v>
      </c>
      <c r="L27" s="159">
        <f>I27*'Other Factors'!$D$29/(SUM('Other Factors'!$B$29:$D$29))</f>
        <v>199.89833333333331</v>
      </c>
    </row>
    <row r="28" spans="1:12" x14ac:dyDescent="0.25">
      <c r="A28" s="12">
        <v>2039</v>
      </c>
      <c r="B28" s="54">
        <f t="shared" si="0"/>
        <v>730000</v>
      </c>
      <c r="C28" s="54">
        <f>B28*('Other Factors'!$B$28+'Other Factors'!$C$28+'Other Factors'!$D$28)</f>
        <v>639479.99999999988</v>
      </c>
      <c r="D28" s="54">
        <f>B28*('Other Factors'!$B$29+'Other Factors'!$C$29+'Other Factors'!$D$29)</f>
        <v>90520</v>
      </c>
      <c r="E28" s="54">
        <f>(C28/'Other Factors'!$B$3)</f>
        <v>319739.99999999994</v>
      </c>
      <c r="F28" s="157">
        <f>E28*'Other Factors'!$B$28/(SUM('Other Factors'!$B$28:$D$28))</f>
        <v>223817.99999999997</v>
      </c>
      <c r="G28" s="157">
        <f>E28*'Other Factors'!$C$28/(SUM('Other Factors'!$B$28:$D$28))</f>
        <v>79934.999999999985</v>
      </c>
      <c r="H28" s="157">
        <f>E28*'Other Factors'!$D$28/(SUM('Other Factors'!$B$28:$D$28))</f>
        <v>15987.000000000002</v>
      </c>
      <c r="I28" s="54">
        <f>D28/('Other Factors'!$B$4*'Other Factors'!$B$5)</f>
        <v>199.89833333333331</v>
      </c>
      <c r="J28" s="54">
        <f>I28*'Other Factors'!$B$29/(SUM('Other Factors'!$B$29:$D$29))</f>
        <v>0</v>
      </c>
      <c r="K28" s="158">
        <f>I28*'Other Factors'!$C$29/(SUM('Other Factors'!$B$29:$D$29))</f>
        <v>0</v>
      </c>
      <c r="L28" s="159">
        <f>I28*'Other Factors'!$D$29/(SUM('Other Factors'!$B$29:$D$29))</f>
        <v>199.89833333333331</v>
      </c>
    </row>
    <row r="29" spans="1:12" x14ac:dyDescent="0.25">
      <c r="A29" s="12">
        <v>2040</v>
      </c>
      <c r="B29" s="54">
        <f t="shared" si="0"/>
        <v>730000</v>
      </c>
      <c r="C29" s="54">
        <f>B29*('Other Factors'!$B$28+'Other Factors'!$C$28+'Other Factors'!$D$28)</f>
        <v>639479.99999999988</v>
      </c>
      <c r="D29" s="54">
        <f>B29*('Other Factors'!$B$29+'Other Factors'!$C$29+'Other Factors'!$D$29)</f>
        <v>90520</v>
      </c>
      <c r="E29" s="54">
        <f>(C29/'Other Factors'!$B$3)</f>
        <v>319739.99999999994</v>
      </c>
      <c r="F29" s="157">
        <f>E29*'Other Factors'!$B$28/(SUM('Other Factors'!$B$28:$D$28))</f>
        <v>223817.99999999997</v>
      </c>
      <c r="G29" s="157">
        <f>E29*'Other Factors'!$C$28/(SUM('Other Factors'!$B$28:$D$28))</f>
        <v>79934.999999999985</v>
      </c>
      <c r="H29" s="157">
        <f>E29*'Other Factors'!$D$28/(SUM('Other Factors'!$B$28:$D$28))</f>
        <v>15987.000000000002</v>
      </c>
      <c r="I29" s="54">
        <f>D29/('Other Factors'!$B$4*'Other Factors'!$B$5)</f>
        <v>199.89833333333331</v>
      </c>
      <c r="J29" s="54">
        <f>I29*'Other Factors'!$B$29/(SUM('Other Factors'!$B$29:$D$29))</f>
        <v>0</v>
      </c>
      <c r="K29" s="158">
        <f>I29*'Other Factors'!$C$29/(SUM('Other Factors'!$B$29:$D$29))</f>
        <v>0</v>
      </c>
      <c r="L29" s="159">
        <f>I29*'Other Factors'!$D$29/(SUM('Other Factors'!$B$29:$D$29))</f>
        <v>199.89833333333331</v>
      </c>
    </row>
    <row r="30" spans="1:12" x14ac:dyDescent="0.25">
      <c r="A30" s="12">
        <v>2041</v>
      </c>
      <c r="B30" s="54">
        <f t="shared" si="0"/>
        <v>730000</v>
      </c>
      <c r="C30" s="54">
        <f>B30*('Other Factors'!$B$28+'Other Factors'!$C$28+'Other Factors'!$D$28)</f>
        <v>639479.99999999988</v>
      </c>
      <c r="D30" s="54">
        <f>B30*('Other Factors'!$B$29+'Other Factors'!$C$29+'Other Factors'!$D$29)</f>
        <v>90520</v>
      </c>
      <c r="E30" s="54">
        <f>(C30/'Other Factors'!$B$3)</f>
        <v>319739.99999999994</v>
      </c>
      <c r="F30" s="157">
        <f>E30*'Other Factors'!$B$28/(SUM('Other Factors'!$B$28:$D$28))</f>
        <v>223817.99999999997</v>
      </c>
      <c r="G30" s="157">
        <f>E30*'Other Factors'!$C$28/(SUM('Other Factors'!$B$28:$D$28))</f>
        <v>79934.999999999985</v>
      </c>
      <c r="H30" s="157">
        <f>E30*'Other Factors'!$D$28/(SUM('Other Factors'!$B$28:$D$28))</f>
        <v>15987.000000000002</v>
      </c>
      <c r="I30" s="54">
        <f>D30/('Other Factors'!$B$4*'Other Factors'!$B$5)</f>
        <v>199.89833333333331</v>
      </c>
      <c r="J30" s="54">
        <f>I30*'Other Factors'!$B$29/(SUM('Other Factors'!$B$29:$D$29))</f>
        <v>0</v>
      </c>
      <c r="K30" s="158">
        <f>I30*'Other Factors'!$C$29/(SUM('Other Factors'!$B$29:$D$29))</f>
        <v>0</v>
      </c>
      <c r="L30" s="159">
        <f>I30*'Other Factors'!$D$29/(SUM('Other Factors'!$B$29:$D$29))</f>
        <v>199.89833333333331</v>
      </c>
    </row>
    <row r="31" spans="1:12" x14ac:dyDescent="0.25">
      <c r="A31" s="12">
        <v>2042</v>
      </c>
      <c r="B31" s="54">
        <f t="shared" si="0"/>
        <v>730000</v>
      </c>
      <c r="C31" s="54">
        <f>B31*('Other Factors'!$B$28+'Other Factors'!$C$28+'Other Factors'!$D$28)</f>
        <v>639479.99999999988</v>
      </c>
      <c r="D31" s="54">
        <f>B31*('Other Factors'!$B$29+'Other Factors'!$C$29+'Other Factors'!$D$29)</f>
        <v>90520</v>
      </c>
      <c r="E31" s="54">
        <f>(C31/'Other Factors'!$B$3)</f>
        <v>319739.99999999994</v>
      </c>
      <c r="F31" s="157">
        <f>E31*'Other Factors'!$B$28/(SUM('Other Factors'!$B$28:$D$28))</f>
        <v>223817.99999999997</v>
      </c>
      <c r="G31" s="157">
        <f>E31*'Other Factors'!$C$28/(SUM('Other Factors'!$B$28:$D$28))</f>
        <v>79934.999999999985</v>
      </c>
      <c r="H31" s="157">
        <f>E31*'Other Factors'!$D$28/(SUM('Other Factors'!$B$28:$D$28))</f>
        <v>15987.000000000002</v>
      </c>
      <c r="I31" s="54">
        <f>D31/('Other Factors'!$B$4*'Other Factors'!$B$5)</f>
        <v>199.89833333333331</v>
      </c>
      <c r="J31" s="54">
        <f>I31*'Other Factors'!$B$29/(SUM('Other Factors'!$B$29:$D$29))</f>
        <v>0</v>
      </c>
      <c r="K31" s="158">
        <f>I31*'Other Factors'!$C$29/(SUM('Other Factors'!$B$29:$D$29))</f>
        <v>0</v>
      </c>
      <c r="L31" s="159">
        <f>I31*'Other Factors'!$D$29/(SUM('Other Factors'!$B$29:$D$29))</f>
        <v>199.89833333333331</v>
      </c>
    </row>
    <row r="32" spans="1:12" x14ac:dyDescent="0.25">
      <c r="A32" s="12">
        <v>2043</v>
      </c>
      <c r="B32" s="54">
        <f t="shared" si="0"/>
        <v>730000</v>
      </c>
      <c r="C32" s="54">
        <f>B32*('Other Factors'!$B$28+'Other Factors'!$C$28+'Other Factors'!$D$28)</f>
        <v>639479.99999999988</v>
      </c>
      <c r="D32" s="54">
        <f>B32*('Other Factors'!$B$29+'Other Factors'!$C$29+'Other Factors'!$D$29)</f>
        <v>90520</v>
      </c>
      <c r="E32" s="54">
        <f>(C32/'Other Factors'!$B$3)</f>
        <v>319739.99999999994</v>
      </c>
      <c r="F32" s="157">
        <f>E32*'Other Factors'!$B$28/(SUM('Other Factors'!$B$28:$D$28))</f>
        <v>223817.99999999997</v>
      </c>
      <c r="G32" s="157">
        <f>E32*'Other Factors'!$C$28/(SUM('Other Factors'!$B$28:$D$28))</f>
        <v>79934.999999999985</v>
      </c>
      <c r="H32" s="157">
        <f>E32*'Other Factors'!$D$28/(SUM('Other Factors'!$B$28:$D$28))</f>
        <v>15987.000000000002</v>
      </c>
      <c r="I32" s="54">
        <f>D32/('Other Factors'!$B$4*'Other Factors'!$B$5)</f>
        <v>199.89833333333331</v>
      </c>
      <c r="J32" s="54">
        <f>I32*'Other Factors'!$B$29/(SUM('Other Factors'!$B$29:$D$29))</f>
        <v>0</v>
      </c>
      <c r="K32" s="158">
        <f>I32*'Other Factors'!$C$29/(SUM('Other Factors'!$B$29:$D$29))</f>
        <v>0</v>
      </c>
      <c r="L32" s="159">
        <f>I32*'Other Factors'!$D$29/(SUM('Other Factors'!$B$29:$D$29))</f>
        <v>199.89833333333331</v>
      </c>
    </row>
    <row r="33" spans="1:15" x14ac:dyDescent="0.25">
      <c r="A33" s="12">
        <v>2044</v>
      </c>
      <c r="B33" s="54">
        <f t="shared" si="0"/>
        <v>730000</v>
      </c>
      <c r="C33" s="54">
        <f>B33*('Other Factors'!$B$28+'Other Factors'!$C$28+'Other Factors'!$D$28)</f>
        <v>639479.99999999988</v>
      </c>
      <c r="D33" s="54">
        <f>B33*('Other Factors'!$B$29+'Other Factors'!$C$29+'Other Factors'!$D$29)</f>
        <v>90520</v>
      </c>
      <c r="E33" s="54">
        <f>(C33/'Other Factors'!$B$3)</f>
        <v>319739.99999999994</v>
      </c>
      <c r="F33" s="157">
        <f>E33*'Other Factors'!$B$28/(SUM('Other Factors'!$B$28:$D$28))</f>
        <v>223817.99999999997</v>
      </c>
      <c r="G33" s="157">
        <f>E33*'Other Factors'!$C$28/(SUM('Other Factors'!$B$28:$D$28))</f>
        <v>79934.999999999985</v>
      </c>
      <c r="H33" s="157">
        <f>E33*'Other Factors'!$D$28/(SUM('Other Factors'!$B$28:$D$28))</f>
        <v>15987.000000000002</v>
      </c>
      <c r="I33" s="54">
        <f>D33/('Other Factors'!$B$4*'Other Factors'!$B$5)</f>
        <v>199.89833333333331</v>
      </c>
      <c r="J33" s="54">
        <f>I33*'Other Factors'!$B$29/(SUM('Other Factors'!$B$29:$D$29))</f>
        <v>0</v>
      </c>
      <c r="K33" s="158">
        <f>I33*'Other Factors'!$C$29/(SUM('Other Factors'!$B$29:$D$29))</f>
        <v>0</v>
      </c>
      <c r="L33" s="159">
        <f>I33*'Other Factors'!$D$29/(SUM('Other Factors'!$B$29:$D$29))</f>
        <v>199.89833333333331</v>
      </c>
    </row>
    <row r="34" spans="1:15" x14ac:dyDescent="0.25">
      <c r="A34" s="12">
        <v>2045</v>
      </c>
      <c r="B34" s="54">
        <f t="shared" si="0"/>
        <v>730000</v>
      </c>
      <c r="C34" s="54">
        <f>B34*('Other Factors'!$B$28+'Other Factors'!$C$28+'Other Factors'!$D$28)</f>
        <v>639479.99999999988</v>
      </c>
      <c r="D34" s="54">
        <f>B34*('Other Factors'!$B$29+'Other Factors'!$C$29+'Other Factors'!$D$29)</f>
        <v>90520</v>
      </c>
      <c r="E34" s="54">
        <f>(C34/'Other Factors'!$B$3)</f>
        <v>319739.99999999994</v>
      </c>
      <c r="F34" s="157">
        <f>E34*'Other Factors'!$B$28/(SUM('Other Factors'!$B$28:$D$28))</f>
        <v>223817.99999999997</v>
      </c>
      <c r="G34" s="157">
        <f>E34*'Other Factors'!$C$28/(SUM('Other Factors'!$B$28:$D$28))</f>
        <v>79934.999999999985</v>
      </c>
      <c r="H34" s="157">
        <f>E34*'Other Factors'!$D$28/(SUM('Other Factors'!$B$28:$D$28))</f>
        <v>15987.000000000002</v>
      </c>
      <c r="I34" s="54">
        <f>D34/('Other Factors'!$B$4*'Other Factors'!$B$5)</f>
        <v>199.89833333333331</v>
      </c>
      <c r="J34" s="54">
        <f>I34*'Other Factors'!$B$29/(SUM('Other Factors'!$B$29:$D$29))</f>
        <v>0</v>
      </c>
      <c r="K34" s="158">
        <f>I34*'Other Factors'!$C$29/(SUM('Other Factors'!$B$29:$D$29))</f>
        <v>0</v>
      </c>
      <c r="L34" s="159">
        <f>I34*'Other Factors'!$D$29/(SUM('Other Factors'!$B$29:$D$29))</f>
        <v>199.89833333333331</v>
      </c>
    </row>
    <row r="35" spans="1:15" x14ac:dyDescent="0.25">
      <c r="A35" s="12">
        <v>2046</v>
      </c>
      <c r="B35" s="54">
        <f t="shared" si="0"/>
        <v>730000</v>
      </c>
      <c r="C35" s="54">
        <f>B35*('Other Factors'!$B$28+'Other Factors'!$C$28+'Other Factors'!$D$28)</f>
        <v>639479.99999999988</v>
      </c>
      <c r="D35" s="54">
        <f>B35*('Other Factors'!$B$29+'Other Factors'!$C$29+'Other Factors'!$D$29)</f>
        <v>90520</v>
      </c>
      <c r="E35" s="54">
        <f>(C35/'Other Factors'!$B$3)</f>
        <v>319739.99999999994</v>
      </c>
      <c r="F35" s="157">
        <f>E35*'Other Factors'!$B$28/(SUM('Other Factors'!$B$28:$D$28))</f>
        <v>223817.99999999997</v>
      </c>
      <c r="G35" s="157">
        <f>E35*'Other Factors'!$C$28/(SUM('Other Factors'!$B$28:$D$28))</f>
        <v>79934.999999999985</v>
      </c>
      <c r="H35" s="157">
        <f>E35*'Other Factors'!$D$28/(SUM('Other Factors'!$B$28:$D$28))</f>
        <v>15987.000000000002</v>
      </c>
      <c r="I35" s="54">
        <f>D35/('Other Factors'!$B$4*'Other Factors'!$B$5)</f>
        <v>199.89833333333331</v>
      </c>
      <c r="J35" s="54">
        <f>I35*'Other Factors'!$B$29/(SUM('Other Factors'!$B$29:$D$29))</f>
        <v>0</v>
      </c>
      <c r="K35" s="158">
        <f>I35*'Other Factors'!$C$29/(SUM('Other Factors'!$B$29:$D$29))</f>
        <v>0</v>
      </c>
      <c r="L35" s="159">
        <f>I35*'Other Factors'!$D$29/(SUM('Other Factors'!$B$29:$D$29))</f>
        <v>199.89833333333331</v>
      </c>
    </row>
    <row r="36" spans="1:15" x14ac:dyDescent="0.25">
      <c r="A36" s="12">
        <v>2047</v>
      </c>
      <c r="B36" s="54">
        <f t="shared" si="0"/>
        <v>730000</v>
      </c>
      <c r="C36" s="54">
        <f>B36*('Other Factors'!$B$28+'Other Factors'!$C$28+'Other Factors'!$D$28)</f>
        <v>639479.99999999988</v>
      </c>
      <c r="D36" s="54">
        <f>B36*('Other Factors'!$B$29+'Other Factors'!$C$29+'Other Factors'!$D$29)</f>
        <v>90520</v>
      </c>
      <c r="E36" s="54">
        <f>(C36/'Other Factors'!$B$3)</f>
        <v>319739.99999999994</v>
      </c>
      <c r="F36" s="157">
        <f>E36*'Other Factors'!$B$28/(SUM('Other Factors'!$B$28:$D$28))</f>
        <v>223817.99999999997</v>
      </c>
      <c r="G36" s="157">
        <f>E36*'Other Factors'!$C$28/(SUM('Other Factors'!$B$28:$D$28))</f>
        <v>79934.999999999985</v>
      </c>
      <c r="H36" s="157">
        <f>E36*'Other Factors'!$D$28/(SUM('Other Factors'!$B$28:$D$28))</f>
        <v>15987.000000000002</v>
      </c>
      <c r="I36" s="54">
        <f>D36/('Other Factors'!$B$4*'Other Factors'!$B$5)</f>
        <v>199.89833333333331</v>
      </c>
      <c r="J36" s="54">
        <f>I36*'Other Factors'!$B$29/(SUM('Other Factors'!$B$29:$D$29))</f>
        <v>0</v>
      </c>
      <c r="K36" s="158">
        <f>I36*'Other Factors'!$C$29/(SUM('Other Factors'!$B$29:$D$29))</f>
        <v>0</v>
      </c>
      <c r="L36" s="159">
        <f>I36*'Other Factors'!$D$29/(SUM('Other Factors'!$B$29:$D$29))</f>
        <v>199.89833333333331</v>
      </c>
    </row>
    <row r="37" spans="1:15" x14ac:dyDescent="0.25">
      <c r="A37" s="12">
        <v>2048</v>
      </c>
      <c r="B37" s="54">
        <f t="shared" si="0"/>
        <v>730000</v>
      </c>
      <c r="C37" s="54">
        <f>B37*('Other Factors'!$B$28+'Other Factors'!$C$28+'Other Factors'!$D$28)</f>
        <v>639479.99999999988</v>
      </c>
      <c r="D37" s="54">
        <f>B37*('Other Factors'!$B$29+'Other Factors'!$C$29+'Other Factors'!$D$29)</f>
        <v>90520</v>
      </c>
      <c r="E37" s="54">
        <f>(C37/'Other Factors'!$B$3)</f>
        <v>319739.99999999994</v>
      </c>
      <c r="F37" s="157">
        <f>E37*'Other Factors'!$B$28/(SUM('Other Factors'!$B$28:$D$28))</f>
        <v>223817.99999999997</v>
      </c>
      <c r="G37" s="157">
        <f>E37*'Other Factors'!$C$28/(SUM('Other Factors'!$B$28:$D$28))</f>
        <v>79934.999999999985</v>
      </c>
      <c r="H37" s="157">
        <f>E37*'Other Factors'!$D$28/(SUM('Other Factors'!$B$28:$D$28))</f>
        <v>15987.000000000002</v>
      </c>
      <c r="I37" s="54">
        <f>D37/('Other Factors'!$B$4*'Other Factors'!$B$5)</f>
        <v>199.89833333333331</v>
      </c>
      <c r="J37" s="54">
        <f>I37*'Other Factors'!$B$29/(SUM('Other Factors'!$B$29:$D$29))</f>
        <v>0</v>
      </c>
      <c r="K37" s="158">
        <f>I37*'Other Factors'!$C$29/(SUM('Other Factors'!$B$29:$D$29))</f>
        <v>0</v>
      </c>
      <c r="L37" s="159">
        <f>I37*'Other Factors'!$D$29/(SUM('Other Factors'!$B$29:$D$29))</f>
        <v>199.89833333333331</v>
      </c>
    </row>
    <row r="38" spans="1:15" x14ac:dyDescent="0.25">
      <c r="A38" s="12">
        <v>2049</v>
      </c>
      <c r="B38" s="54">
        <f t="shared" si="0"/>
        <v>730000</v>
      </c>
      <c r="C38" s="54">
        <f>B38*('Other Factors'!$B$28+'Other Factors'!$C$28+'Other Factors'!$D$28)</f>
        <v>639479.99999999988</v>
      </c>
      <c r="D38" s="54">
        <f>B38*('Other Factors'!$B$29+'Other Factors'!$C$29+'Other Factors'!$D$29)</f>
        <v>90520</v>
      </c>
      <c r="E38" s="54">
        <f>(C38/'Other Factors'!$B$3)</f>
        <v>319739.99999999994</v>
      </c>
      <c r="F38" s="157">
        <f>E38*'Other Factors'!$B$28/(SUM('Other Factors'!$B$28:$D$28))</f>
        <v>223817.99999999997</v>
      </c>
      <c r="G38" s="157">
        <f>E38*'Other Factors'!$C$28/(SUM('Other Factors'!$B$28:$D$28))</f>
        <v>79934.999999999985</v>
      </c>
      <c r="H38" s="157">
        <f>E38*'Other Factors'!$D$28/(SUM('Other Factors'!$B$28:$D$28))</f>
        <v>15987.000000000002</v>
      </c>
      <c r="I38" s="54">
        <f>D38/('Other Factors'!$B$4*'Other Factors'!$B$5)</f>
        <v>199.89833333333331</v>
      </c>
      <c r="J38" s="54">
        <f>I38*'Other Factors'!$B$29/(SUM('Other Factors'!$B$29:$D$29))</f>
        <v>0</v>
      </c>
      <c r="K38" s="158">
        <f>I38*'Other Factors'!$C$29/(SUM('Other Factors'!$B$29:$D$29))</f>
        <v>0</v>
      </c>
      <c r="L38" s="159">
        <f>I38*'Other Factors'!$D$29/(SUM('Other Factors'!$B$29:$D$29))</f>
        <v>199.89833333333331</v>
      </c>
    </row>
    <row r="39" spans="1:15" x14ac:dyDescent="0.25">
      <c r="A39" s="12">
        <v>2050</v>
      </c>
      <c r="B39" s="54">
        <f t="shared" si="0"/>
        <v>730000</v>
      </c>
      <c r="C39" s="54">
        <f>B39*('Other Factors'!$B$28+'Other Factors'!$C$28+'Other Factors'!$D$28)</f>
        <v>639479.99999999988</v>
      </c>
      <c r="D39" s="54">
        <f>B39*('Other Factors'!$B$29+'Other Factors'!$C$29+'Other Factors'!$D$29)</f>
        <v>90520</v>
      </c>
      <c r="E39" s="54">
        <f>(C39/'Other Factors'!$B$3)</f>
        <v>319739.99999999994</v>
      </c>
      <c r="F39" s="157">
        <f>E39*'Other Factors'!$B$28/(SUM('Other Factors'!$B$28:$D$28))</f>
        <v>223817.99999999997</v>
      </c>
      <c r="G39" s="157">
        <f>E39*'Other Factors'!$C$28/(SUM('Other Factors'!$B$28:$D$28))</f>
        <v>79934.999999999985</v>
      </c>
      <c r="H39" s="157">
        <f>E39*'Other Factors'!$D$28/(SUM('Other Factors'!$B$28:$D$28))</f>
        <v>15987.000000000002</v>
      </c>
      <c r="I39" s="54">
        <f>D39/('Other Factors'!$B$4*'Other Factors'!$B$5)</f>
        <v>199.89833333333331</v>
      </c>
      <c r="J39" s="54">
        <f>I39*'Other Factors'!$B$29/(SUM('Other Factors'!$B$29:$D$29))</f>
        <v>0</v>
      </c>
      <c r="K39" s="158">
        <f>I39*'Other Factors'!$C$29/(SUM('Other Factors'!$B$29:$D$29))</f>
        <v>0</v>
      </c>
      <c r="L39" s="159">
        <f>I39*'Other Factors'!$D$29/(SUM('Other Factors'!$B$29:$D$29))</f>
        <v>199.89833333333331</v>
      </c>
    </row>
    <row r="40" spans="1:15" x14ac:dyDescent="0.25">
      <c r="A40" s="390">
        <v>2051</v>
      </c>
      <c r="B40" s="391">
        <f>B39</f>
        <v>730000</v>
      </c>
      <c r="C40" s="391">
        <f>B40*('Other Factors'!$B$28+'Other Factors'!$C$28+'Other Factors'!$D$28)</f>
        <v>639479.99999999988</v>
      </c>
      <c r="D40" s="391">
        <f>B40*('Other Factors'!$B$29+'Other Factors'!$C$29+'Other Factors'!$D$29)</f>
        <v>90520</v>
      </c>
      <c r="E40" s="391">
        <f>(C40/'Other Factors'!$B$3)</f>
        <v>319739.99999999994</v>
      </c>
      <c r="F40" s="396">
        <f>E40*'Other Factors'!$B$28/(SUM('Other Factors'!$B$28:$D$28))</f>
        <v>223817.99999999997</v>
      </c>
      <c r="G40" s="396">
        <f>E40*'Other Factors'!$C$28/(SUM('Other Factors'!$B$28:$D$28))</f>
        <v>79934.999999999985</v>
      </c>
      <c r="H40" s="396">
        <f>E40*'Other Factors'!$D$28/(SUM('Other Factors'!$B$28:$D$28))</f>
        <v>15987.000000000002</v>
      </c>
      <c r="I40" s="391">
        <f>D40/('Other Factors'!$B$4*'Other Factors'!$B$5)</f>
        <v>199.89833333333331</v>
      </c>
      <c r="J40" s="391">
        <f>I40*'Other Factors'!$B$29/(SUM('Other Factors'!$B$29:$D$29))</f>
        <v>0</v>
      </c>
      <c r="K40" s="394">
        <f>I40*'Other Factors'!$C$29/(SUM('Other Factors'!$B$29:$D$29))</f>
        <v>0</v>
      </c>
      <c r="L40" s="395">
        <f>I40*'Other Factors'!$D$29/(SUM('Other Factors'!$B$29:$D$29))</f>
        <v>199.89833333333331</v>
      </c>
    </row>
    <row r="41" spans="1:15" x14ac:dyDescent="0.25">
      <c r="A41" s="12" t="s">
        <v>2</v>
      </c>
      <c r="B41" s="63">
        <f t="shared" ref="B41:L41" si="1">SUM(B3:B40)</f>
        <v>17880000</v>
      </c>
      <c r="C41" s="63">
        <f t="shared" si="1"/>
        <v>15662879.999999998</v>
      </c>
      <c r="D41" s="63">
        <f t="shared" si="1"/>
        <v>2217120</v>
      </c>
      <c r="E41" s="63">
        <f t="shared" si="1"/>
        <v>7831439.9999999991</v>
      </c>
      <c r="F41" s="63">
        <f t="shared" si="1"/>
        <v>5482008</v>
      </c>
      <c r="G41" s="63">
        <f t="shared" si="1"/>
        <v>1957860</v>
      </c>
      <c r="H41" s="63">
        <f t="shared" si="1"/>
        <v>391572</v>
      </c>
      <c r="I41" s="63">
        <f t="shared" si="1"/>
        <v>4896.1400000000021</v>
      </c>
      <c r="J41" s="63">
        <f t="shared" si="1"/>
        <v>0</v>
      </c>
      <c r="K41" s="63">
        <f t="shared" si="1"/>
        <v>0</v>
      </c>
      <c r="L41" s="62">
        <f t="shared" si="1"/>
        <v>4896.1400000000021</v>
      </c>
    </row>
    <row r="42" spans="1:15" ht="7.5" customHeight="1" thickBot="1" x14ac:dyDescent="0.3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</row>
    <row r="43" spans="1:15" x14ac:dyDescent="0.25">
      <c r="M43" s="61"/>
      <c r="N43" s="61"/>
    </row>
    <row r="44" spans="1:15" ht="15.75" thickBot="1" x14ac:dyDescent="0.3">
      <c r="M44" s="61"/>
      <c r="N44" s="61"/>
    </row>
    <row r="45" spans="1:15" ht="18.75" x14ac:dyDescent="0.3">
      <c r="A45" s="156" t="s">
        <v>108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64"/>
      <c r="N45" s="64"/>
    </row>
    <row r="46" spans="1:15" ht="60" x14ac:dyDescent="0.25">
      <c r="A46" s="331" t="s">
        <v>3</v>
      </c>
      <c r="B46" s="327" t="s">
        <v>140</v>
      </c>
      <c r="C46" s="327" t="s">
        <v>141</v>
      </c>
      <c r="D46" s="327" t="s">
        <v>142</v>
      </c>
      <c r="E46" s="327" t="s">
        <v>150</v>
      </c>
      <c r="F46" s="329" t="s">
        <v>151</v>
      </c>
      <c r="G46" s="327" t="s">
        <v>152</v>
      </c>
      <c r="H46" s="327" t="s">
        <v>153</v>
      </c>
      <c r="I46" s="327" t="s">
        <v>154</v>
      </c>
      <c r="J46" s="329" t="s">
        <v>155</v>
      </c>
      <c r="K46" s="327" t="s">
        <v>156</v>
      </c>
      <c r="L46" s="330" t="s">
        <v>157</v>
      </c>
      <c r="M46" s="63"/>
      <c r="N46" s="63"/>
      <c r="O46" s="63"/>
    </row>
    <row r="47" spans="1:15" x14ac:dyDescent="0.25">
      <c r="A47" s="13">
        <v>2014</v>
      </c>
      <c r="B47" s="54">
        <f t="shared" ref="B47:B84" si="2">B3</f>
        <v>0</v>
      </c>
      <c r="C47" s="54">
        <f>B47*('Other Factors'!$E$28+'Other Factors'!$F$28+'Other Factors'!$G$28)</f>
        <v>0</v>
      </c>
      <c r="D47" s="54">
        <f>B47*('Other Factors'!$E$29+'Other Factors'!$F$29+'Other Factors'!$G$29)</f>
        <v>0</v>
      </c>
      <c r="E47" s="54">
        <f>(C47/'Other Factors'!$B$3)</f>
        <v>0</v>
      </c>
      <c r="F47" s="54">
        <f>E47*'Other Factors'!$E$28/(SUM('Other Factors'!$E$28:$G$28))</f>
        <v>0</v>
      </c>
      <c r="G47" s="54">
        <f>E47*'Other Factors'!$F$28/(SUM('Other Factors'!$E$28:$G$28))</f>
        <v>0</v>
      </c>
      <c r="H47" s="54">
        <f>E47*'Other Factors'!$G$28/(SUM('Other Factors'!$E$28:$G$28))</f>
        <v>0</v>
      </c>
      <c r="I47" s="54">
        <f>D47/('Other Factors'!$B$4*'Other Factors'!$B$5)</f>
        <v>0</v>
      </c>
      <c r="J47" s="54">
        <f>I47*'Other Factors'!$E$29/(SUM('Other Factors'!$E$29:$G$29))</f>
        <v>0</v>
      </c>
      <c r="K47" s="158">
        <f>I47*'Other Factors'!$F$29/(SUM('Other Factors'!$E$29:$G$29))</f>
        <v>0</v>
      </c>
      <c r="L47" s="159">
        <f>I47*'Other Factors'!$G$29/(SUM('Other Factors'!$E$29:$G$29))</f>
        <v>0</v>
      </c>
      <c r="M47" s="63"/>
      <c r="N47" s="63"/>
      <c r="O47" s="63"/>
    </row>
    <row r="48" spans="1:15" x14ac:dyDescent="0.25">
      <c r="A48" s="12">
        <v>2015</v>
      </c>
      <c r="B48" s="54">
        <f t="shared" si="2"/>
        <v>0</v>
      </c>
      <c r="C48" s="54">
        <f>B48*('Other Factors'!$E$28+'Other Factors'!$F$28+'Other Factors'!$G$28)</f>
        <v>0</v>
      </c>
      <c r="D48" s="54">
        <f>B48*('Other Factors'!$E$29+'Other Factors'!$F$29+'Other Factors'!$G$29)</f>
        <v>0</v>
      </c>
      <c r="E48" s="54">
        <f>(C48/'Other Factors'!$B$3)</f>
        <v>0</v>
      </c>
      <c r="F48" s="54">
        <f>E48*'Other Factors'!$E$28/(SUM('Other Factors'!$E$28:$G$28))</f>
        <v>0</v>
      </c>
      <c r="G48" s="54">
        <f>E48*'Other Factors'!$F$28/(SUM('Other Factors'!$E$28:$G$28))</f>
        <v>0</v>
      </c>
      <c r="H48" s="54">
        <f>E48*'Other Factors'!$G$28/(SUM('Other Factors'!$E$28:$G$28))</f>
        <v>0</v>
      </c>
      <c r="I48" s="54">
        <f>D48/('Other Factors'!$B$4*'Other Factors'!$B$5)</f>
        <v>0</v>
      </c>
      <c r="J48" s="54">
        <f>I48*'Other Factors'!$E$29/(SUM('Other Factors'!$E$29:$G$29))</f>
        <v>0</v>
      </c>
      <c r="K48" s="158">
        <f>I48*'Other Factors'!$F$29/(SUM('Other Factors'!$E$29:$G$29))</f>
        <v>0</v>
      </c>
      <c r="L48" s="159">
        <f>I48*'Other Factors'!$G$29/(SUM('Other Factors'!$E$29:$G$29))</f>
        <v>0</v>
      </c>
      <c r="M48" s="63"/>
      <c r="N48" s="63"/>
      <c r="O48" s="63"/>
    </row>
    <row r="49" spans="1:15" x14ac:dyDescent="0.25">
      <c r="A49" s="13">
        <v>2016</v>
      </c>
      <c r="B49" s="54">
        <f t="shared" si="2"/>
        <v>0</v>
      </c>
      <c r="C49" s="54">
        <f>B49*('Other Factors'!$E$28+'Other Factors'!$F$28+'Other Factors'!$G$28)</f>
        <v>0</v>
      </c>
      <c r="D49" s="54">
        <f>B49*('Other Factors'!$E$29+'Other Factors'!$F$29+'Other Factors'!$G$29)</f>
        <v>0</v>
      </c>
      <c r="E49" s="54">
        <f>(C49/'Other Factors'!$B$3)</f>
        <v>0</v>
      </c>
      <c r="F49" s="54">
        <f>E49*'Other Factors'!$E$28/(SUM('Other Factors'!$E$28:$G$28))</f>
        <v>0</v>
      </c>
      <c r="G49" s="54">
        <f>E49*'Other Factors'!$F$28/(SUM('Other Factors'!$E$28:$G$28))</f>
        <v>0</v>
      </c>
      <c r="H49" s="54">
        <f>E49*'Other Factors'!$G$28/(SUM('Other Factors'!$E$28:$G$28))</f>
        <v>0</v>
      </c>
      <c r="I49" s="54">
        <f>D49/('Other Factors'!$B$4*'Other Factors'!$B$5)</f>
        <v>0</v>
      </c>
      <c r="J49" s="54">
        <f>I49*'Other Factors'!$E$29/(SUM('Other Factors'!$E$29:$G$29))</f>
        <v>0</v>
      </c>
      <c r="K49" s="158">
        <f>I49*'Other Factors'!$F$29/(SUM('Other Factors'!$E$29:$G$29))</f>
        <v>0</v>
      </c>
      <c r="L49" s="159">
        <f>I49*'Other Factors'!$G$29/(SUM('Other Factors'!$E$29:$G$29))</f>
        <v>0</v>
      </c>
      <c r="M49" s="63"/>
      <c r="N49" s="63"/>
      <c r="O49" s="63"/>
    </row>
    <row r="50" spans="1:15" x14ac:dyDescent="0.25">
      <c r="A50" s="13">
        <v>2017</v>
      </c>
      <c r="B50" s="54">
        <f t="shared" si="2"/>
        <v>0</v>
      </c>
      <c r="C50" s="54">
        <f>B50*('Other Factors'!$E$28+'Other Factors'!$F$28+'Other Factors'!$G$28)</f>
        <v>0</v>
      </c>
      <c r="D50" s="54">
        <f>B50*('Other Factors'!$E$29+'Other Factors'!$F$29+'Other Factors'!$G$29)</f>
        <v>0</v>
      </c>
      <c r="E50" s="54">
        <f>(C50/'Other Factors'!$B$3)</f>
        <v>0</v>
      </c>
      <c r="F50" s="54">
        <f>E50*'Other Factors'!$E$28/(SUM('Other Factors'!$E$28:$G$28))</f>
        <v>0</v>
      </c>
      <c r="G50" s="54">
        <f>E50*'Other Factors'!$F$28/(SUM('Other Factors'!$E$28:$G$28))</f>
        <v>0</v>
      </c>
      <c r="H50" s="54">
        <f>E50*'Other Factors'!$G$28/(SUM('Other Factors'!$E$28:$G$28))</f>
        <v>0</v>
      </c>
      <c r="I50" s="54">
        <f>D50/('Other Factors'!$B$4*'Other Factors'!$B$5)</f>
        <v>0</v>
      </c>
      <c r="J50" s="54">
        <f>I50*'Other Factors'!$E$29/(SUM('Other Factors'!$E$29:$G$29))</f>
        <v>0</v>
      </c>
      <c r="K50" s="158">
        <f>I50*'Other Factors'!$F$29/(SUM('Other Factors'!$E$29:$G$29))</f>
        <v>0</v>
      </c>
      <c r="L50" s="159">
        <f>I50*'Other Factors'!$G$29/(SUM('Other Factors'!$E$29:$G$29))</f>
        <v>0</v>
      </c>
      <c r="M50" s="63"/>
      <c r="N50" s="63"/>
      <c r="O50" s="63"/>
    </row>
    <row r="51" spans="1:15" x14ac:dyDescent="0.25">
      <c r="A51" s="13">
        <v>2018</v>
      </c>
      <c r="B51" s="54">
        <f t="shared" si="2"/>
        <v>0</v>
      </c>
      <c r="C51" s="54">
        <f>B51*('Other Factors'!$E$28+'Other Factors'!$F$28+'Other Factors'!$G$28)</f>
        <v>0</v>
      </c>
      <c r="D51" s="54">
        <f>B51*('Other Factors'!$E$29+'Other Factors'!$F$29+'Other Factors'!$G$29)</f>
        <v>0</v>
      </c>
      <c r="E51" s="54">
        <f>(C51/'Other Factors'!$B$3)</f>
        <v>0</v>
      </c>
      <c r="F51" s="54">
        <f>E51*'Other Factors'!$E$28/(SUM('Other Factors'!$E$28:$G$28))</f>
        <v>0</v>
      </c>
      <c r="G51" s="54">
        <f>E51*'Other Factors'!$F$28/(SUM('Other Factors'!$E$28:$G$28))</f>
        <v>0</v>
      </c>
      <c r="H51" s="54">
        <f>E51*'Other Factors'!$G$28/(SUM('Other Factors'!$E$28:$G$28))</f>
        <v>0</v>
      </c>
      <c r="I51" s="54">
        <f>D51/('Other Factors'!$B$4*'Other Factors'!$B$5)</f>
        <v>0</v>
      </c>
      <c r="J51" s="54">
        <f>I51*'Other Factors'!$E$29/(SUM('Other Factors'!$E$29:$G$29))</f>
        <v>0</v>
      </c>
      <c r="K51" s="158">
        <f>I51*'Other Factors'!$F$29/(SUM('Other Factors'!$E$29:$G$29))</f>
        <v>0</v>
      </c>
      <c r="L51" s="159">
        <f>I51*'Other Factors'!$G$29/(SUM('Other Factors'!$E$29:$G$29))</f>
        <v>0</v>
      </c>
      <c r="M51" s="63"/>
      <c r="N51" s="63"/>
      <c r="O51" s="63"/>
    </row>
    <row r="52" spans="1:15" x14ac:dyDescent="0.25">
      <c r="A52" s="12">
        <v>2019</v>
      </c>
      <c r="B52" s="54">
        <f t="shared" si="2"/>
        <v>0</v>
      </c>
      <c r="C52" s="54">
        <f>B52*('Other Factors'!$E$28+'Other Factors'!$F$28+'Other Factors'!$G$28)</f>
        <v>0</v>
      </c>
      <c r="D52" s="54">
        <f>B52*('Other Factors'!$E$29+'Other Factors'!$F$29+'Other Factors'!$G$29)</f>
        <v>0</v>
      </c>
      <c r="E52" s="54">
        <f>(C52/'Other Factors'!$B$3)</f>
        <v>0</v>
      </c>
      <c r="F52" s="54">
        <f>E52*'Other Factors'!$E$28/(SUM('Other Factors'!$E$28:$G$28))</f>
        <v>0</v>
      </c>
      <c r="G52" s="54">
        <f>E52*'Other Factors'!$F$28/(SUM('Other Factors'!$E$28:$G$28))</f>
        <v>0</v>
      </c>
      <c r="H52" s="54">
        <f>E52*'Other Factors'!$G$28/(SUM('Other Factors'!$E$28:$G$28))</f>
        <v>0</v>
      </c>
      <c r="I52" s="54">
        <f>D52/('Other Factors'!$B$4*'Other Factors'!$B$5)</f>
        <v>0</v>
      </c>
      <c r="J52" s="54">
        <f>I52*'Other Factors'!$E$29/(SUM('Other Factors'!$E$29:$G$29))</f>
        <v>0</v>
      </c>
      <c r="K52" s="158">
        <f>I52*'Other Factors'!$F$29/(SUM('Other Factors'!$E$29:$G$29))</f>
        <v>0</v>
      </c>
      <c r="L52" s="159">
        <f>I52*'Other Factors'!$G$29/(SUM('Other Factors'!$E$29:$G$29))</f>
        <v>0</v>
      </c>
      <c r="M52" s="63"/>
      <c r="N52" s="63"/>
      <c r="O52" s="63"/>
    </row>
    <row r="53" spans="1:15" x14ac:dyDescent="0.25">
      <c r="A53" s="12">
        <v>2020</v>
      </c>
      <c r="B53" s="54">
        <f t="shared" si="2"/>
        <v>0</v>
      </c>
      <c r="C53" s="54">
        <f>B53*('Other Factors'!$E$28+'Other Factors'!$F$28+'Other Factors'!$G$28)</f>
        <v>0</v>
      </c>
      <c r="D53" s="54">
        <f>B53*('Other Factors'!$E$29+'Other Factors'!$F$29+'Other Factors'!$G$29)</f>
        <v>0</v>
      </c>
      <c r="E53" s="54">
        <f>(C53/'Other Factors'!$B$3)</f>
        <v>0</v>
      </c>
      <c r="F53" s="54">
        <f>E53*'Other Factors'!$E$28/(SUM('Other Factors'!$E$28:$G$28))</f>
        <v>0</v>
      </c>
      <c r="G53" s="54">
        <f>E53*'Other Factors'!$F$28/(SUM('Other Factors'!$E$28:$G$28))</f>
        <v>0</v>
      </c>
      <c r="H53" s="54">
        <f>E53*'Other Factors'!$G$28/(SUM('Other Factors'!$E$28:$G$28))</f>
        <v>0</v>
      </c>
      <c r="I53" s="54">
        <f>D53/('Other Factors'!$B$4*'Other Factors'!$B$5)</f>
        <v>0</v>
      </c>
      <c r="J53" s="54">
        <f>I53*'Other Factors'!$E$29/(SUM('Other Factors'!$E$29:$G$29))</f>
        <v>0</v>
      </c>
      <c r="K53" s="158">
        <f>I53*'Other Factors'!$F$29/(SUM('Other Factors'!$E$29:$G$29))</f>
        <v>0</v>
      </c>
      <c r="L53" s="159">
        <f>I53*'Other Factors'!$G$29/(SUM('Other Factors'!$E$29:$G$29))</f>
        <v>0</v>
      </c>
      <c r="M53" s="63"/>
      <c r="N53" s="63"/>
      <c r="O53" s="63"/>
    </row>
    <row r="54" spans="1:15" x14ac:dyDescent="0.25">
      <c r="A54" s="13">
        <v>2021</v>
      </c>
      <c r="B54" s="54">
        <f t="shared" si="2"/>
        <v>0</v>
      </c>
      <c r="C54" s="54">
        <f>B54*('Other Factors'!$E$28+'Other Factors'!$F$28+'Other Factors'!$G$28)</f>
        <v>0</v>
      </c>
      <c r="D54" s="54">
        <f>B54*('Other Factors'!$E$29+'Other Factors'!$F$29+'Other Factors'!$G$29)</f>
        <v>0</v>
      </c>
      <c r="E54" s="54">
        <f>(C54/'Other Factors'!$B$3)</f>
        <v>0</v>
      </c>
      <c r="F54" s="87">
        <f>E54*'Other Factors'!$E$28/(SUM('Other Factors'!$E$28:$G$28))</f>
        <v>0</v>
      </c>
      <c r="G54" s="87">
        <f>E54*'Other Factors'!$F$28/(SUM('Other Factors'!$E$28:$G$28))</f>
        <v>0</v>
      </c>
      <c r="H54" s="87">
        <f>E54*'Other Factors'!$G$28/(SUM('Other Factors'!$E$28:$G$28))</f>
        <v>0</v>
      </c>
      <c r="I54" s="54">
        <f>D54/('Other Factors'!$B$4*'Other Factors'!$B$5)</f>
        <v>0</v>
      </c>
      <c r="J54" s="54">
        <f>I54*'Other Factors'!$E$29/(SUM('Other Factors'!$E$29:$G$29))</f>
        <v>0</v>
      </c>
      <c r="K54" s="158">
        <f>I54*'Other Factors'!$F$29/(SUM('Other Factors'!$E$29:$G$29))</f>
        <v>0</v>
      </c>
      <c r="L54" s="159">
        <f>I54*'Other Factors'!$G$29/(SUM('Other Factors'!$E$29:$G$29))</f>
        <v>0</v>
      </c>
      <c r="M54" s="63"/>
      <c r="N54" s="63"/>
      <c r="O54" s="63"/>
    </row>
    <row r="55" spans="1:15" x14ac:dyDescent="0.25">
      <c r="A55" s="12">
        <v>2022</v>
      </c>
      <c r="B55" s="54">
        <f t="shared" si="2"/>
        <v>50000</v>
      </c>
      <c r="C55" s="54">
        <f>B55*('Other Factors'!$E$28+'Other Factors'!$F$28+'Other Factors'!$G$28)</f>
        <v>39599</v>
      </c>
      <c r="D55" s="54">
        <f>B55*('Other Factors'!$E$29+'Other Factors'!$F$29+'Other Factors'!$G$29)</f>
        <v>10401</v>
      </c>
      <c r="E55" s="54">
        <f>(C55/'Other Factors'!$B$3)</f>
        <v>19799.5</v>
      </c>
      <c r="F55" s="87">
        <f>E55*'Other Factors'!$E$28/(SUM('Other Factors'!$E$28:$G$28))</f>
        <v>13030.5</v>
      </c>
      <c r="G55" s="87">
        <f>E55*'Other Factors'!$F$28/(SUM('Other Factors'!$E$28:$G$28))</f>
        <v>3832.4999999999995</v>
      </c>
      <c r="H55" s="87">
        <f>E55*'Other Factors'!$G$28/(SUM('Other Factors'!$E$28:$G$28))</f>
        <v>2936.5000000000005</v>
      </c>
      <c r="I55" s="54">
        <f>D55/('Other Factors'!$B$4*'Other Factors'!$B$5)</f>
        <v>22.968874999999997</v>
      </c>
      <c r="J55" s="54">
        <f>I55*'Other Factors'!$E$29/(SUM('Other Factors'!$E$29:$G$29))</f>
        <v>10.156124999999999</v>
      </c>
      <c r="K55" s="158">
        <f>I55*'Other Factors'!$F$29/(SUM('Other Factors'!$E$29:$G$29))</f>
        <v>7.2543749999999996</v>
      </c>
      <c r="L55" s="159">
        <f>I55*'Other Factors'!$G$29/(SUM('Other Factors'!$E$29:$G$29))</f>
        <v>5.5583749999999998</v>
      </c>
      <c r="M55" s="63"/>
      <c r="N55" s="63"/>
      <c r="O55" s="63"/>
    </row>
    <row r="56" spans="1:15" x14ac:dyDescent="0.25">
      <c r="A56" s="12">
        <v>2023</v>
      </c>
      <c r="B56" s="54">
        <f t="shared" si="2"/>
        <v>100000</v>
      </c>
      <c r="C56" s="54">
        <f>B56*('Other Factors'!$E$28+'Other Factors'!$F$28+'Other Factors'!$G$28)</f>
        <v>79198</v>
      </c>
      <c r="D56" s="54">
        <f>B56*('Other Factors'!$E$29+'Other Factors'!$F$29+'Other Factors'!$G$29)</f>
        <v>20802</v>
      </c>
      <c r="E56" s="54">
        <f>(C56/'Other Factors'!$B$3)</f>
        <v>39599</v>
      </c>
      <c r="F56" s="87">
        <f>E56*'Other Factors'!$E$28/(SUM('Other Factors'!$E$28:$G$28))</f>
        <v>26061</v>
      </c>
      <c r="G56" s="87">
        <f>E56*'Other Factors'!$F$28/(SUM('Other Factors'!$E$28:$G$28))</f>
        <v>7664.9999999999991</v>
      </c>
      <c r="H56" s="87">
        <f>E56*'Other Factors'!$G$28/(SUM('Other Factors'!$E$28:$G$28))</f>
        <v>5873.0000000000009</v>
      </c>
      <c r="I56" s="54">
        <f>D56/('Other Factors'!$B$4*'Other Factors'!$B$5)</f>
        <v>45.937749999999994</v>
      </c>
      <c r="J56" s="54">
        <f>I56*'Other Factors'!$E$29/(SUM('Other Factors'!$E$29:$G$29))</f>
        <v>20.312249999999999</v>
      </c>
      <c r="K56" s="158">
        <f>I56*'Other Factors'!$F$29/(SUM('Other Factors'!$E$29:$G$29))</f>
        <v>14.508749999999999</v>
      </c>
      <c r="L56" s="159">
        <f>I56*'Other Factors'!$G$29/(SUM('Other Factors'!$E$29:$G$29))</f>
        <v>11.11675</v>
      </c>
      <c r="M56" s="63"/>
      <c r="N56" s="63"/>
      <c r="O56" s="63"/>
    </row>
    <row r="57" spans="1:15" x14ac:dyDescent="0.25">
      <c r="A57" s="12">
        <v>2024</v>
      </c>
      <c r="B57" s="54">
        <f t="shared" si="2"/>
        <v>150000</v>
      </c>
      <c r="C57" s="54">
        <f>B57*('Other Factors'!$E$28+'Other Factors'!$F$28+'Other Factors'!$G$28)</f>
        <v>118797</v>
      </c>
      <c r="D57" s="54">
        <f>B57*('Other Factors'!$E$29+'Other Factors'!$F$29+'Other Factors'!$G$29)</f>
        <v>31202.999999999996</v>
      </c>
      <c r="E57" s="54">
        <f>(C57/'Other Factors'!$B$3)</f>
        <v>59398.5</v>
      </c>
      <c r="F57" s="87">
        <f>E57*'Other Factors'!$E$28/(SUM('Other Factors'!$E$28:$G$28))</f>
        <v>39091.5</v>
      </c>
      <c r="G57" s="87">
        <f>E57*'Other Factors'!$F$28/(SUM('Other Factors'!$E$28:$G$28))</f>
        <v>11497.5</v>
      </c>
      <c r="H57" s="87">
        <f>E57*'Other Factors'!$G$28/(SUM('Other Factors'!$E$28:$G$28))</f>
        <v>8809.5</v>
      </c>
      <c r="I57" s="54">
        <f>D57/('Other Factors'!$B$4*'Other Factors'!$B$5)</f>
        <v>68.906624999999977</v>
      </c>
      <c r="J57" s="54">
        <f>I57*'Other Factors'!$E$29/(SUM('Other Factors'!$E$29:$G$29))</f>
        <v>30.468374999999991</v>
      </c>
      <c r="K57" s="158">
        <f>I57*'Other Factors'!$F$29/(SUM('Other Factors'!$E$29:$G$29))</f>
        <v>21.763124999999992</v>
      </c>
      <c r="L57" s="159">
        <f>I57*'Other Factors'!$G$29/(SUM('Other Factors'!$E$29:$G$29))</f>
        <v>16.675124999999994</v>
      </c>
      <c r="M57" s="63"/>
      <c r="N57" s="63"/>
      <c r="O57" s="63"/>
    </row>
    <row r="58" spans="1:15" x14ac:dyDescent="0.25">
      <c r="A58" s="12">
        <v>2025</v>
      </c>
      <c r="B58" s="54">
        <f t="shared" si="2"/>
        <v>200000</v>
      </c>
      <c r="C58" s="54">
        <f>B58*('Other Factors'!$E$28+'Other Factors'!$F$28+'Other Factors'!$G$28)</f>
        <v>158396</v>
      </c>
      <c r="D58" s="54">
        <f>B58*('Other Factors'!$E$29+'Other Factors'!$F$29+'Other Factors'!$G$29)</f>
        <v>41604</v>
      </c>
      <c r="E58" s="54">
        <f>(C58/'Other Factors'!$B$3)</f>
        <v>79198</v>
      </c>
      <c r="F58" s="87">
        <f>E58*'Other Factors'!$E$28/(SUM('Other Factors'!$E$28:$G$28))</f>
        <v>52122</v>
      </c>
      <c r="G58" s="87">
        <f>E58*'Other Factors'!$F$28/(SUM('Other Factors'!$E$28:$G$28))</f>
        <v>15329.999999999998</v>
      </c>
      <c r="H58" s="87">
        <f>E58*'Other Factors'!$G$28/(SUM('Other Factors'!$E$28:$G$28))</f>
        <v>11746.000000000002</v>
      </c>
      <c r="I58" s="54">
        <f>D58/('Other Factors'!$B$4*'Other Factors'!$B$5)</f>
        <v>91.875499999999988</v>
      </c>
      <c r="J58" s="54">
        <f>I58*'Other Factors'!$E$29/(SUM('Other Factors'!$E$29:$G$29))</f>
        <v>40.624499999999998</v>
      </c>
      <c r="K58" s="158">
        <f>I58*'Other Factors'!$F$29/(SUM('Other Factors'!$E$29:$G$29))</f>
        <v>29.017499999999998</v>
      </c>
      <c r="L58" s="159">
        <f>I58*'Other Factors'!$G$29/(SUM('Other Factors'!$E$29:$G$29))</f>
        <v>22.233499999999999</v>
      </c>
      <c r="M58" s="63"/>
      <c r="N58" s="63"/>
      <c r="O58" s="63"/>
    </row>
    <row r="59" spans="1:15" x14ac:dyDescent="0.25">
      <c r="A59" s="12">
        <v>2026</v>
      </c>
      <c r="B59" s="54">
        <f t="shared" si="2"/>
        <v>250000</v>
      </c>
      <c r="C59" s="54">
        <f>B59*('Other Factors'!$E$28+'Other Factors'!$F$28+'Other Factors'!$G$28)</f>
        <v>197995</v>
      </c>
      <c r="D59" s="54">
        <f>B59*('Other Factors'!$E$29+'Other Factors'!$F$29+'Other Factors'!$G$29)</f>
        <v>52004.999999999993</v>
      </c>
      <c r="E59" s="54">
        <f>(C59/'Other Factors'!$B$3)</f>
        <v>98997.5</v>
      </c>
      <c r="F59" s="87">
        <f>E59*'Other Factors'!$E$28/(SUM('Other Factors'!$E$28:$G$28))</f>
        <v>65152.5</v>
      </c>
      <c r="G59" s="87">
        <f>E59*'Other Factors'!$F$28/(SUM('Other Factors'!$E$28:$G$28))</f>
        <v>19162.5</v>
      </c>
      <c r="H59" s="87">
        <f>E59*'Other Factors'!$G$28/(SUM('Other Factors'!$E$28:$G$28))</f>
        <v>14682.500000000002</v>
      </c>
      <c r="I59" s="54">
        <f>D59/('Other Factors'!$B$4*'Other Factors'!$B$5)</f>
        <v>114.84437499999997</v>
      </c>
      <c r="J59" s="54">
        <f>I59*'Other Factors'!$E$29/(SUM('Other Factors'!$E$29:$G$29))</f>
        <v>50.780624999999986</v>
      </c>
      <c r="K59" s="158">
        <f>I59*'Other Factors'!$F$29/(SUM('Other Factors'!$E$29:$G$29))</f>
        <v>36.271874999999987</v>
      </c>
      <c r="L59" s="159">
        <f>I59*'Other Factors'!$G$29/(SUM('Other Factors'!$E$29:$G$29))</f>
        <v>27.791874999999994</v>
      </c>
      <c r="M59" s="63"/>
      <c r="N59" s="63"/>
      <c r="O59" s="63"/>
    </row>
    <row r="60" spans="1:15" x14ac:dyDescent="0.25">
      <c r="A60" s="12">
        <v>2027</v>
      </c>
      <c r="B60" s="54">
        <f t="shared" si="2"/>
        <v>300000</v>
      </c>
      <c r="C60" s="54">
        <f>B60*('Other Factors'!$E$28+'Other Factors'!$F$28+'Other Factors'!$G$28)</f>
        <v>237594</v>
      </c>
      <c r="D60" s="54">
        <f>B60*('Other Factors'!$E$29+'Other Factors'!$F$29+'Other Factors'!$G$29)</f>
        <v>62405.999999999993</v>
      </c>
      <c r="E60" s="54">
        <f>(C60/'Other Factors'!$B$3)</f>
        <v>118797</v>
      </c>
      <c r="F60" s="87">
        <f>E60*'Other Factors'!$E$28/(SUM('Other Factors'!$E$28:$G$28))</f>
        <v>78183</v>
      </c>
      <c r="G60" s="87">
        <f>E60*'Other Factors'!$F$28/(SUM('Other Factors'!$E$28:$G$28))</f>
        <v>22995</v>
      </c>
      <c r="H60" s="87">
        <f>E60*'Other Factors'!$G$28/(SUM('Other Factors'!$E$28:$G$28))</f>
        <v>17619</v>
      </c>
      <c r="I60" s="54">
        <f>D60/('Other Factors'!$B$4*'Other Factors'!$B$5)</f>
        <v>137.81324999999995</v>
      </c>
      <c r="J60" s="54">
        <f>I60*'Other Factors'!$E$29/(SUM('Other Factors'!$E$29:$G$29))</f>
        <v>60.936749999999982</v>
      </c>
      <c r="K60" s="158">
        <f>I60*'Other Factors'!$F$29/(SUM('Other Factors'!$E$29:$G$29))</f>
        <v>43.526249999999983</v>
      </c>
      <c r="L60" s="159">
        <f>I60*'Other Factors'!$G$29/(SUM('Other Factors'!$E$29:$G$29))</f>
        <v>33.350249999999988</v>
      </c>
      <c r="M60" s="63"/>
      <c r="N60" s="63"/>
      <c r="O60" s="63"/>
    </row>
    <row r="61" spans="1:15" x14ac:dyDescent="0.25">
      <c r="A61" s="12">
        <v>2028</v>
      </c>
      <c r="B61" s="54">
        <f t="shared" si="2"/>
        <v>400000</v>
      </c>
      <c r="C61" s="54">
        <f>B61*('Other Factors'!$E$28+'Other Factors'!$F$28+'Other Factors'!$G$28)</f>
        <v>316792</v>
      </c>
      <c r="D61" s="54">
        <f>B61*('Other Factors'!$E$29+'Other Factors'!$F$29+'Other Factors'!$G$29)</f>
        <v>83208</v>
      </c>
      <c r="E61" s="54">
        <f>(C61/'Other Factors'!$B$3)</f>
        <v>158396</v>
      </c>
      <c r="F61" s="87">
        <f>E61*'Other Factors'!$E$28/(SUM('Other Factors'!$E$28:$G$28))</f>
        <v>104244</v>
      </c>
      <c r="G61" s="87">
        <f>E61*'Other Factors'!$F$28/(SUM('Other Factors'!$E$28:$G$28))</f>
        <v>30659.999999999996</v>
      </c>
      <c r="H61" s="87">
        <f>E61*'Other Factors'!$G$28/(SUM('Other Factors'!$E$28:$G$28))</f>
        <v>23492.000000000004</v>
      </c>
      <c r="I61" s="54">
        <f>D61/('Other Factors'!$B$4*'Other Factors'!$B$5)</f>
        <v>183.75099999999998</v>
      </c>
      <c r="J61" s="54">
        <f>I61*'Other Factors'!$E$29/(SUM('Other Factors'!$E$29:$G$29))</f>
        <v>81.248999999999995</v>
      </c>
      <c r="K61" s="158">
        <f>I61*'Other Factors'!$F$29/(SUM('Other Factors'!$E$29:$G$29))</f>
        <v>58.034999999999997</v>
      </c>
      <c r="L61" s="159">
        <f>I61*'Other Factors'!$G$29/(SUM('Other Factors'!$E$29:$G$29))</f>
        <v>44.466999999999999</v>
      </c>
      <c r="M61" s="63"/>
      <c r="N61" s="63"/>
      <c r="O61" s="63"/>
    </row>
    <row r="62" spans="1:15" x14ac:dyDescent="0.25">
      <c r="A62" s="12">
        <v>2029</v>
      </c>
      <c r="B62" s="54">
        <f t="shared" si="2"/>
        <v>500000</v>
      </c>
      <c r="C62" s="54">
        <f>B62*('Other Factors'!$E$28+'Other Factors'!$F$28+'Other Factors'!$G$28)</f>
        <v>395990</v>
      </c>
      <c r="D62" s="54">
        <f>B62*('Other Factors'!$E$29+'Other Factors'!$F$29+'Other Factors'!$G$29)</f>
        <v>104009.99999999999</v>
      </c>
      <c r="E62" s="54">
        <f>(C62/'Other Factors'!$B$3)</f>
        <v>197995</v>
      </c>
      <c r="F62" s="87">
        <f>E62*'Other Factors'!$E$28/(SUM('Other Factors'!$E$28:$G$28))</f>
        <v>130305</v>
      </c>
      <c r="G62" s="87">
        <f>E62*'Other Factors'!$F$28/(SUM('Other Factors'!$E$28:$G$28))</f>
        <v>38325</v>
      </c>
      <c r="H62" s="87">
        <f>E62*'Other Factors'!$G$28/(SUM('Other Factors'!$E$28:$G$28))</f>
        <v>29365.000000000004</v>
      </c>
      <c r="I62" s="54">
        <f>D62/('Other Factors'!$B$4*'Other Factors'!$B$5)</f>
        <v>229.68874999999994</v>
      </c>
      <c r="J62" s="54">
        <f>I62*'Other Factors'!$E$29/(SUM('Other Factors'!$E$29:$G$29))</f>
        <v>101.56124999999997</v>
      </c>
      <c r="K62" s="158">
        <f>I62*'Other Factors'!$F$29/(SUM('Other Factors'!$E$29:$G$29))</f>
        <v>72.543749999999974</v>
      </c>
      <c r="L62" s="159">
        <f>I62*'Other Factors'!$G$29/(SUM('Other Factors'!$E$29:$G$29))</f>
        <v>55.583749999999988</v>
      </c>
      <c r="M62" s="63"/>
      <c r="N62" s="63"/>
      <c r="O62" s="63"/>
    </row>
    <row r="63" spans="1:15" x14ac:dyDescent="0.25">
      <c r="A63" s="12">
        <v>2030</v>
      </c>
      <c r="B63" s="54">
        <f t="shared" si="2"/>
        <v>600000</v>
      </c>
      <c r="C63" s="54">
        <f>B63*('Other Factors'!$E$28+'Other Factors'!$F$28+'Other Factors'!$G$28)</f>
        <v>475188</v>
      </c>
      <c r="D63" s="54">
        <f>B63*('Other Factors'!$E$29+'Other Factors'!$F$29+'Other Factors'!$G$29)</f>
        <v>124811.99999999999</v>
      </c>
      <c r="E63" s="54">
        <f>(C63/'Other Factors'!$B$3)</f>
        <v>237594</v>
      </c>
      <c r="F63" s="87">
        <f>E63*'Other Factors'!$E$28/(SUM('Other Factors'!$E$28:$G$28))</f>
        <v>156366</v>
      </c>
      <c r="G63" s="87">
        <f>E63*'Other Factors'!$F$28/(SUM('Other Factors'!$E$28:$G$28))</f>
        <v>45990</v>
      </c>
      <c r="H63" s="87">
        <f>E63*'Other Factors'!$G$28/(SUM('Other Factors'!$E$28:$G$28))</f>
        <v>35238</v>
      </c>
      <c r="I63" s="54">
        <f>D63/('Other Factors'!$B$4*'Other Factors'!$B$5)</f>
        <v>275.62649999999991</v>
      </c>
      <c r="J63" s="54">
        <f>I63*'Other Factors'!$E$29/(SUM('Other Factors'!$E$29:$G$29))</f>
        <v>121.87349999999996</v>
      </c>
      <c r="K63" s="158">
        <f>I63*'Other Factors'!$F$29/(SUM('Other Factors'!$E$29:$G$29))</f>
        <v>87.052499999999966</v>
      </c>
      <c r="L63" s="159">
        <f>I63*'Other Factors'!$G$29/(SUM('Other Factors'!$E$29:$G$29))</f>
        <v>66.700499999999977</v>
      </c>
      <c r="M63" s="63"/>
      <c r="N63" s="63"/>
      <c r="O63" s="63"/>
    </row>
    <row r="64" spans="1:15" x14ac:dyDescent="0.25">
      <c r="A64" s="12">
        <v>2031</v>
      </c>
      <c r="B64" s="54">
        <f t="shared" si="2"/>
        <v>730000</v>
      </c>
      <c r="C64" s="54">
        <f>B64*('Other Factors'!$E$28+'Other Factors'!$F$28+'Other Factors'!$G$28)</f>
        <v>578145.4</v>
      </c>
      <c r="D64" s="54">
        <f>B64*('Other Factors'!$E$29+'Other Factors'!$F$29+'Other Factors'!$G$29)</f>
        <v>151854.59999999998</v>
      </c>
      <c r="E64" s="54">
        <f>(C64/'Other Factors'!$B$3)</f>
        <v>289072.7</v>
      </c>
      <c r="F64" s="87">
        <f>E64*'Other Factors'!$E$28/(SUM('Other Factors'!$E$28:$G$28))</f>
        <v>190245.3</v>
      </c>
      <c r="G64" s="87">
        <f>E64*'Other Factors'!$F$28/(SUM('Other Factors'!$E$28:$G$28))</f>
        <v>55954.5</v>
      </c>
      <c r="H64" s="87">
        <f>E64*'Other Factors'!$G$28/(SUM('Other Factors'!$E$28:$G$28))</f>
        <v>42872.900000000009</v>
      </c>
      <c r="I64" s="54">
        <f>D64/('Other Factors'!$B$4*'Other Factors'!$B$5)</f>
        <v>335.34557499999988</v>
      </c>
      <c r="J64" s="54">
        <f>I64*'Other Factors'!$E$29/(SUM('Other Factors'!$E$29:$G$29))</f>
        <v>148.27942499999995</v>
      </c>
      <c r="K64" s="158">
        <f>I64*'Other Factors'!$F$29/(SUM('Other Factors'!$E$29:$G$29))</f>
        <v>105.91387499999996</v>
      </c>
      <c r="L64" s="159">
        <f>I64*'Other Factors'!$G$29/(SUM('Other Factors'!$E$29:$G$29))</f>
        <v>81.152274999999989</v>
      </c>
      <c r="M64" s="63"/>
      <c r="N64" s="63"/>
      <c r="O64" s="63"/>
    </row>
    <row r="65" spans="1:15" x14ac:dyDescent="0.25">
      <c r="A65" s="12">
        <v>2032</v>
      </c>
      <c r="B65" s="54">
        <f t="shared" si="2"/>
        <v>730000</v>
      </c>
      <c r="C65" s="54">
        <f>B65*('Other Factors'!$E$28+'Other Factors'!$F$28+'Other Factors'!$G$28)</f>
        <v>578145.4</v>
      </c>
      <c r="D65" s="54">
        <f>B65*('Other Factors'!$E$29+'Other Factors'!$F$29+'Other Factors'!$G$29)</f>
        <v>151854.59999999998</v>
      </c>
      <c r="E65" s="54">
        <f>(C65/'Other Factors'!$B$3)</f>
        <v>289072.7</v>
      </c>
      <c r="F65" s="87">
        <f>E65*'Other Factors'!$E$28/(SUM('Other Factors'!$E$28:$G$28))</f>
        <v>190245.3</v>
      </c>
      <c r="G65" s="87">
        <f>E65*'Other Factors'!$F$28/(SUM('Other Factors'!$E$28:$G$28))</f>
        <v>55954.5</v>
      </c>
      <c r="H65" s="87">
        <f>E65*'Other Factors'!$G$28/(SUM('Other Factors'!$E$28:$G$28))</f>
        <v>42872.900000000009</v>
      </c>
      <c r="I65" s="54">
        <f>D65/('Other Factors'!$B$4*'Other Factors'!$B$5)</f>
        <v>335.34557499999988</v>
      </c>
      <c r="J65" s="54">
        <f>I65*'Other Factors'!$E$29/(SUM('Other Factors'!$E$29:$G$29))</f>
        <v>148.27942499999995</v>
      </c>
      <c r="K65" s="158">
        <f>I65*'Other Factors'!$F$29/(SUM('Other Factors'!$E$29:$G$29))</f>
        <v>105.91387499999996</v>
      </c>
      <c r="L65" s="159">
        <f>I65*'Other Factors'!$G$29/(SUM('Other Factors'!$E$29:$G$29))</f>
        <v>81.152274999999989</v>
      </c>
      <c r="M65" s="63"/>
      <c r="N65" s="63"/>
      <c r="O65" s="63"/>
    </row>
    <row r="66" spans="1:15" x14ac:dyDescent="0.25">
      <c r="A66" s="12">
        <v>2033</v>
      </c>
      <c r="B66" s="54">
        <f t="shared" si="2"/>
        <v>730000</v>
      </c>
      <c r="C66" s="54">
        <f>B66*('Other Factors'!$E$28+'Other Factors'!$F$28+'Other Factors'!$G$28)</f>
        <v>578145.4</v>
      </c>
      <c r="D66" s="54">
        <f>B66*('Other Factors'!$E$29+'Other Factors'!$F$29+'Other Factors'!$G$29)</f>
        <v>151854.59999999998</v>
      </c>
      <c r="E66" s="54">
        <f>(C66/'Other Factors'!$B$3)</f>
        <v>289072.7</v>
      </c>
      <c r="F66" s="87">
        <f>E66*'Other Factors'!$E$28/(SUM('Other Factors'!$E$28:$G$28))</f>
        <v>190245.3</v>
      </c>
      <c r="G66" s="87">
        <f>E66*'Other Factors'!$F$28/(SUM('Other Factors'!$E$28:$G$28))</f>
        <v>55954.5</v>
      </c>
      <c r="H66" s="87">
        <f>E66*'Other Factors'!$G$28/(SUM('Other Factors'!$E$28:$G$28))</f>
        <v>42872.900000000009</v>
      </c>
      <c r="I66" s="54">
        <f>D66/('Other Factors'!$B$4*'Other Factors'!$B$5)</f>
        <v>335.34557499999988</v>
      </c>
      <c r="J66" s="54">
        <f>I66*'Other Factors'!$E$29/(SUM('Other Factors'!$E$29:$G$29))</f>
        <v>148.27942499999995</v>
      </c>
      <c r="K66" s="158">
        <f>I66*'Other Factors'!$F$29/(SUM('Other Factors'!$E$29:$G$29))</f>
        <v>105.91387499999996</v>
      </c>
      <c r="L66" s="159">
        <f>I66*'Other Factors'!$G$29/(SUM('Other Factors'!$E$29:$G$29))</f>
        <v>81.152274999999989</v>
      </c>
      <c r="M66" s="63"/>
      <c r="N66" s="63"/>
      <c r="O66" s="63"/>
    </row>
    <row r="67" spans="1:15" x14ac:dyDescent="0.25">
      <c r="A67" s="12">
        <v>2034</v>
      </c>
      <c r="B67" s="54">
        <f t="shared" si="2"/>
        <v>730000</v>
      </c>
      <c r="C67" s="54">
        <f>B67*('Other Factors'!$E$28+'Other Factors'!$F$28+'Other Factors'!$G$28)</f>
        <v>578145.4</v>
      </c>
      <c r="D67" s="54">
        <f>B67*('Other Factors'!$E$29+'Other Factors'!$F$29+'Other Factors'!$G$29)</f>
        <v>151854.59999999998</v>
      </c>
      <c r="E67" s="54">
        <f>(C67/'Other Factors'!$B$3)</f>
        <v>289072.7</v>
      </c>
      <c r="F67" s="87">
        <f>E67*'Other Factors'!$E$28/(SUM('Other Factors'!$E$28:$G$28))</f>
        <v>190245.3</v>
      </c>
      <c r="G67" s="87">
        <f>E67*'Other Factors'!$F$28/(SUM('Other Factors'!$E$28:$G$28))</f>
        <v>55954.5</v>
      </c>
      <c r="H67" s="87">
        <f>E67*'Other Factors'!$G$28/(SUM('Other Factors'!$E$28:$G$28))</f>
        <v>42872.900000000009</v>
      </c>
      <c r="I67" s="54">
        <f>D67/('Other Factors'!$B$4*'Other Factors'!$B$5)</f>
        <v>335.34557499999988</v>
      </c>
      <c r="J67" s="54">
        <f>I67*'Other Factors'!$E$29/(SUM('Other Factors'!$E$29:$G$29))</f>
        <v>148.27942499999995</v>
      </c>
      <c r="K67" s="158">
        <f>I67*'Other Factors'!$F$29/(SUM('Other Factors'!$E$29:$G$29))</f>
        <v>105.91387499999996</v>
      </c>
      <c r="L67" s="159">
        <f>I67*'Other Factors'!$G$29/(SUM('Other Factors'!$E$29:$G$29))</f>
        <v>81.152274999999989</v>
      </c>
      <c r="M67" s="63"/>
      <c r="N67" s="63"/>
      <c r="O67" s="63"/>
    </row>
    <row r="68" spans="1:15" x14ac:dyDescent="0.25">
      <c r="A68" s="12">
        <v>2035</v>
      </c>
      <c r="B68" s="54">
        <f t="shared" si="2"/>
        <v>730000</v>
      </c>
      <c r="C68" s="54">
        <f>B68*('Other Factors'!$E$28+'Other Factors'!$F$28+'Other Factors'!$G$28)</f>
        <v>578145.4</v>
      </c>
      <c r="D68" s="54">
        <f>B68*('Other Factors'!$E$29+'Other Factors'!$F$29+'Other Factors'!$G$29)</f>
        <v>151854.59999999998</v>
      </c>
      <c r="E68" s="54">
        <f>(C68/'Other Factors'!$B$3)</f>
        <v>289072.7</v>
      </c>
      <c r="F68" s="87">
        <f>E68*'Other Factors'!$E$28/(SUM('Other Factors'!$E$28:$G$28))</f>
        <v>190245.3</v>
      </c>
      <c r="G68" s="87">
        <f>E68*'Other Factors'!$F$28/(SUM('Other Factors'!$E$28:$G$28))</f>
        <v>55954.5</v>
      </c>
      <c r="H68" s="87">
        <f>E68*'Other Factors'!$G$28/(SUM('Other Factors'!$E$28:$G$28))</f>
        <v>42872.900000000009</v>
      </c>
      <c r="I68" s="54">
        <f>D68/('Other Factors'!$B$4*'Other Factors'!$B$5)</f>
        <v>335.34557499999988</v>
      </c>
      <c r="J68" s="54">
        <f>I68*'Other Factors'!$E$29/(SUM('Other Factors'!$E$29:$G$29))</f>
        <v>148.27942499999995</v>
      </c>
      <c r="K68" s="158">
        <f>I68*'Other Factors'!$F$29/(SUM('Other Factors'!$E$29:$G$29))</f>
        <v>105.91387499999996</v>
      </c>
      <c r="L68" s="159">
        <f>I68*'Other Factors'!$G$29/(SUM('Other Factors'!$E$29:$G$29))</f>
        <v>81.152274999999989</v>
      </c>
      <c r="M68" s="63"/>
      <c r="N68" s="63"/>
      <c r="O68" s="63"/>
    </row>
    <row r="69" spans="1:15" x14ac:dyDescent="0.25">
      <c r="A69" s="12">
        <v>2036</v>
      </c>
      <c r="B69" s="54">
        <f t="shared" si="2"/>
        <v>730000</v>
      </c>
      <c r="C69" s="54">
        <f>B69*('Other Factors'!$E$28+'Other Factors'!$F$28+'Other Factors'!$G$28)</f>
        <v>578145.4</v>
      </c>
      <c r="D69" s="54">
        <f>B69*('Other Factors'!$E$29+'Other Factors'!$F$29+'Other Factors'!$G$29)</f>
        <v>151854.59999999998</v>
      </c>
      <c r="E69" s="54">
        <f>(C69/'Other Factors'!$B$3)</f>
        <v>289072.7</v>
      </c>
      <c r="F69" s="87">
        <f>E69*'Other Factors'!$E$28/(SUM('Other Factors'!$E$28:$G$28))</f>
        <v>190245.3</v>
      </c>
      <c r="G69" s="87">
        <f>E69*'Other Factors'!$F$28/(SUM('Other Factors'!$E$28:$G$28))</f>
        <v>55954.5</v>
      </c>
      <c r="H69" s="87">
        <f>E69*'Other Factors'!$G$28/(SUM('Other Factors'!$E$28:$G$28))</f>
        <v>42872.900000000009</v>
      </c>
      <c r="I69" s="54">
        <f>D69/('Other Factors'!$B$4*'Other Factors'!$B$5)</f>
        <v>335.34557499999988</v>
      </c>
      <c r="J69" s="54">
        <f>I69*'Other Factors'!$E$29/(SUM('Other Factors'!$E$29:$G$29))</f>
        <v>148.27942499999995</v>
      </c>
      <c r="K69" s="158">
        <f>I69*'Other Factors'!$F$29/(SUM('Other Factors'!$E$29:$G$29))</f>
        <v>105.91387499999996</v>
      </c>
      <c r="L69" s="159">
        <f>I69*'Other Factors'!$G$29/(SUM('Other Factors'!$E$29:$G$29))</f>
        <v>81.152274999999989</v>
      </c>
      <c r="M69" s="63"/>
      <c r="N69" s="63"/>
      <c r="O69" s="63"/>
    </row>
    <row r="70" spans="1:15" x14ac:dyDescent="0.25">
      <c r="A70" s="12">
        <v>2037</v>
      </c>
      <c r="B70" s="54">
        <f t="shared" si="2"/>
        <v>730000</v>
      </c>
      <c r="C70" s="54">
        <f>B70*('Other Factors'!$E$28+'Other Factors'!$F$28+'Other Factors'!$G$28)</f>
        <v>578145.4</v>
      </c>
      <c r="D70" s="54">
        <f>B70*('Other Factors'!$E$29+'Other Factors'!$F$29+'Other Factors'!$G$29)</f>
        <v>151854.59999999998</v>
      </c>
      <c r="E70" s="54">
        <f>(C70/'Other Factors'!$B$3)</f>
        <v>289072.7</v>
      </c>
      <c r="F70" s="87">
        <f>E70*'Other Factors'!$E$28/(SUM('Other Factors'!$E$28:$G$28))</f>
        <v>190245.3</v>
      </c>
      <c r="G70" s="87">
        <f>E70*'Other Factors'!$F$28/(SUM('Other Factors'!$E$28:$G$28))</f>
        <v>55954.5</v>
      </c>
      <c r="H70" s="87">
        <f>E70*'Other Factors'!$G$28/(SUM('Other Factors'!$E$28:$G$28))</f>
        <v>42872.900000000009</v>
      </c>
      <c r="I70" s="54">
        <f>D70/('Other Factors'!$B$4*'Other Factors'!$B$5)</f>
        <v>335.34557499999988</v>
      </c>
      <c r="J70" s="54">
        <f>I70*'Other Factors'!$E$29/(SUM('Other Factors'!$E$29:$G$29))</f>
        <v>148.27942499999995</v>
      </c>
      <c r="K70" s="158">
        <f>I70*'Other Factors'!$F$29/(SUM('Other Factors'!$E$29:$G$29))</f>
        <v>105.91387499999996</v>
      </c>
      <c r="L70" s="159">
        <f>I70*'Other Factors'!$G$29/(SUM('Other Factors'!$E$29:$G$29))</f>
        <v>81.152274999999989</v>
      </c>
      <c r="M70" s="63"/>
      <c r="N70" s="63"/>
      <c r="O70" s="63"/>
    </row>
    <row r="71" spans="1:15" x14ac:dyDescent="0.25">
      <c r="A71" s="12">
        <v>2038</v>
      </c>
      <c r="B71" s="54">
        <f t="shared" si="2"/>
        <v>730000</v>
      </c>
      <c r="C71" s="54">
        <f>B71*('Other Factors'!$E$28+'Other Factors'!$F$28+'Other Factors'!$G$28)</f>
        <v>578145.4</v>
      </c>
      <c r="D71" s="54">
        <f>B71*('Other Factors'!$E$29+'Other Factors'!$F$29+'Other Factors'!$G$29)</f>
        <v>151854.59999999998</v>
      </c>
      <c r="E71" s="54">
        <f>(C71/'Other Factors'!$B$3)</f>
        <v>289072.7</v>
      </c>
      <c r="F71" s="87">
        <f>E71*'Other Factors'!$E$28/(SUM('Other Factors'!$E$28:$G$28))</f>
        <v>190245.3</v>
      </c>
      <c r="G71" s="87">
        <f>E71*'Other Factors'!$F$28/(SUM('Other Factors'!$E$28:$G$28))</f>
        <v>55954.5</v>
      </c>
      <c r="H71" s="87">
        <f>E71*'Other Factors'!$G$28/(SUM('Other Factors'!$E$28:$G$28))</f>
        <v>42872.900000000009</v>
      </c>
      <c r="I71" s="54">
        <f>D71/('Other Factors'!$B$4*'Other Factors'!$B$5)</f>
        <v>335.34557499999988</v>
      </c>
      <c r="J71" s="54">
        <f>I71*'Other Factors'!$E$29/(SUM('Other Factors'!$E$29:$G$29))</f>
        <v>148.27942499999995</v>
      </c>
      <c r="K71" s="158">
        <f>I71*'Other Factors'!$F$29/(SUM('Other Factors'!$E$29:$G$29))</f>
        <v>105.91387499999996</v>
      </c>
      <c r="L71" s="159">
        <f>I71*'Other Factors'!$G$29/(SUM('Other Factors'!$E$29:$G$29))</f>
        <v>81.152274999999989</v>
      </c>
      <c r="M71" s="63"/>
      <c r="N71" s="63"/>
      <c r="O71" s="63"/>
    </row>
    <row r="72" spans="1:15" x14ac:dyDescent="0.25">
      <c r="A72" s="12">
        <v>2039</v>
      </c>
      <c r="B72" s="54">
        <f t="shared" si="2"/>
        <v>730000</v>
      </c>
      <c r="C72" s="54">
        <f>B72*('Other Factors'!$E$28+'Other Factors'!$F$28+'Other Factors'!$G$28)</f>
        <v>578145.4</v>
      </c>
      <c r="D72" s="54">
        <f>B72*('Other Factors'!$E$29+'Other Factors'!$F$29+'Other Factors'!$G$29)</f>
        <v>151854.59999999998</v>
      </c>
      <c r="E72" s="54">
        <f>(C72/'Other Factors'!$B$3)</f>
        <v>289072.7</v>
      </c>
      <c r="F72" s="87">
        <f>E72*'Other Factors'!$E$28/(SUM('Other Factors'!$E$28:$G$28))</f>
        <v>190245.3</v>
      </c>
      <c r="G72" s="87">
        <f>E72*'Other Factors'!$F$28/(SUM('Other Factors'!$E$28:$G$28))</f>
        <v>55954.5</v>
      </c>
      <c r="H72" s="87">
        <f>E72*'Other Factors'!$G$28/(SUM('Other Factors'!$E$28:$G$28))</f>
        <v>42872.900000000009</v>
      </c>
      <c r="I72" s="54">
        <f>D72/('Other Factors'!$B$4*'Other Factors'!$B$5)</f>
        <v>335.34557499999988</v>
      </c>
      <c r="J72" s="54">
        <f>I72*'Other Factors'!$E$29/(SUM('Other Factors'!$E$29:$G$29))</f>
        <v>148.27942499999995</v>
      </c>
      <c r="K72" s="158">
        <f>I72*'Other Factors'!$F$29/(SUM('Other Factors'!$E$29:$G$29))</f>
        <v>105.91387499999996</v>
      </c>
      <c r="L72" s="159">
        <f>I72*'Other Factors'!$G$29/(SUM('Other Factors'!$E$29:$G$29))</f>
        <v>81.152274999999989</v>
      </c>
      <c r="M72" s="63"/>
      <c r="N72" s="63"/>
      <c r="O72" s="63"/>
    </row>
    <row r="73" spans="1:15" x14ac:dyDescent="0.25">
      <c r="A73" s="12">
        <v>2040</v>
      </c>
      <c r="B73" s="54">
        <f t="shared" si="2"/>
        <v>730000</v>
      </c>
      <c r="C73" s="54">
        <f>B73*('Other Factors'!$E$28+'Other Factors'!$F$28+'Other Factors'!$G$28)</f>
        <v>578145.4</v>
      </c>
      <c r="D73" s="54">
        <f>B73*('Other Factors'!$E$29+'Other Factors'!$F$29+'Other Factors'!$G$29)</f>
        <v>151854.59999999998</v>
      </c>
      <c r="E73" s="54">
        <f>(C73/'Other Factors'!$B$3)</f>
        <v>289072.7</v>
      </c>
      <c r="F73" s="87">
        <f>E73*'Other Factors'!$E$28/(SUM('Other Factors'!$E$28:$G$28))</f>
        <v>190245.3</v>
      </c>
      <c r="G73" s="87">
        <f>E73*'Other Factors'!$F$28/(SUM('Other Factors'!$E$28:$G$28))</f>
        <v>55954.5</v>
      </c>
      <c r="H73" s="87">
        <f>E73*'Other Factors'!$G$28/(SUM('Other Factors'!$E$28:$G$28))</f>
        <v>42872.900000000009</v>
      </c>
      <c r="I73" s="54">
        <f>D73/('Other Factors'!$B$4*'Other Factors'!$B$5)</f>
        <v>335.34557499999988</v>
      </c>
      <c r="J73" s="54">
        <f>I73*'Other Factors'!$E$29/(SUM('Other Factors'!$E$29:$G$29))</f>
        <v>148.27942499999995</v>
      </c>
      <c r="K73" s="158">
        <f>I73*'Other Factors'!$F$29/(SUM('Other Factors'!$E$29:$G$29))</f>
        <v>105.91387499999996</v>
      </c>
      <c r="L73" s="159">
        <f>I73*'Other Factors'!$G$29/(SUM('Other Factors'!$E$29:$G$29))</f>
        <v>81.152274999999989</v>
      </c>
      <c r="M73" s="63"/>
      <c r="N73" s="63"/>
      <c r="O73" s="63"/>
    </row>
    <row r="74" spans="1:15" x14ac:dyDescent="0.25">
      <c r="A74" s="12">
        <v>2041</v>
      </c>
      <c r="B74" s="54">
        <f t="shared" si="2"/>
        <v>730000</v>
      </c>
      <c r="C74" s="54">
        <f>B74*('Other Factors'!$E$28+'Other Factors'!$F$28+'Other Factors'!$G$28)</f>
        <v>578145.4</v>
      </c>
      <c r="D74" s="54">
        <f>B74*('Other Factors'!$E$29+'Other Factors'!$F$29+'Other Factors'!$G$29)</f>
        <v>151854.59999999998</v>
      </c>
      <c r="E74" s="54">
        <f>(C74/'Other Factors'!$B$3)</f>
        <v>289072.7</v>
      </c>
      <c r="F74" s="87">
        <f>E74*'Other Factors'!$E$28/(SUM('Other Factors'!$E$28:$G$28))</f>
        <v>190245.3</v>
      </c>
      <c r="G74" s="87">
        <f>E74*'Other Factors'!$F$28/(SUM('Other Factors'!$E$28:$G$28))</f>
        <v>55954.5</v>
      </c>
      <c r="H74" s="87">
        <f>E74*'Other Factors'!$G$28/(SUM('Other Factors'!$E$28:$G$28))</f>
        <v>42872.900000000009</v>
      </c>
      <c r="I74" s="54">
        <f>D74/('Other Factors'!$B$4*'Other Factors'!$B$5)</f>
        <v>335.34557499999988</v>
      </c>
      <c r="J74" s="54">
        <f>I74*'Other Factors'!$E$29/(SUM('Other Factors'!$E$29:$G$29))</f>
        <v>148.27942499999995</v>
      </c>
      <c r="K74" s="158">
        <f>I74*'Other Factors'!$F$29/(SUM('Other Factors'!$E$29:$G$29))</f>
        <v>105.91387499999996</v>
      </c>
      <c r="L74" s="159">
        <f>I74*'Other Factors'!$G$29/(SUM('Other Factors'!$E$29:$G$29))</f>
        <v>81.152274999999989</v>
      </c>
      <c r="M74" s="63"/>
      <c r="N74" s="63"/>
      <c r="O74" s="63"/>
    </row>
    <row r="75" spans="1:15" x14ac:dyDescent="0.25">
      <c r="A75" s="12">
        <v>2042</v>
      </c>
      <c r="B75" s="54">
        <f t="shared" si="2"/>
        <v>730000</v>
      </c>
      <c r="C75" s="54">
        <f>B75*('Other Factors'!$E$28+'Other Factors'!$F$28+'Other Factors'!$G$28)</f>
        <v>578145.4</v>
      </c>
      <c r="D75" s="54">
        <f>B75*('Other Factors'!$E$29+'Other Factors'!$F$29+'Other Factors'!$G$29)</f>
        <v>151854.59999999998</v>
      </c>
      <c r="E75" s="54">
        <f>(C75/'Other Factors'!$B$3)</f>
        <v>289072.7</v>
      </c>
      <c r="F75" s="87">
        <f>E75*'Other Factors'!$E$28/(SUM('Other Factors'!$E$28:$G$28))</f>
        <v>190245.3</v>
      </c>
      <c r="G75" s="87">
        <f>E75*'Other Factors'!$F$28/(SUM('Other Factors'!$E$28:$G$28))</f>
        <v>55954.5</v>
      </c>
      <c r="H75" s="87">
        <f>E75*'Other Factors'!$G$28/(SUM('Other Factors'!$E$28:$G$28))</f>
        <v>42872.900000000009</v>
      </c>
      <c r="I75" s="54">
        <f>D75/('Other Factors'!$B$4*'Other Factors'!$B$5)</f>
        <v>335.34557499999988</v>
      </c>
      <c r="J75" s="54">
        <f>I75*'Other Factors'!$E$29/(SUM('Other Factors'!$E$29:$G$29))</f>
        <v>148.27942499999995</v>
      </c>
      <c r="K75" s="158">
        <f>I75*'Other Factors'!$F$29/(SUM('Other Factors'!$E$29:$G$29))</f>
        <v>105.91387499999996</v>
      </c>
      <c r="L75" s="159">
        <f>I75*'Other Factors'!$G$29/(SUM('Other Factors'!$E$29:$G$29))</f>
        <v>81.152274999999989</v>
      </c>
      <c r="M75" s="63"/>
      <c r="N75" s="63"/>
      <c r="O75" s="63"/>
    </row>
    <row r="76" spans="1:15" x14ac:dyDescent="0.25">
      <c r="A76" s="12">
        <v>2043</v>
      </c>
      <c r="B76" s="54">
        <f t="shared" si="2"/>
        <v>730000</v>
      </c>
      <c r="C76" s="54">
        <f>B76*('Other Factors'!$E$28+'Other Factors'!$F$28+'Other Factors'!$G$28)</f>
        <v>578145.4</v>
      </c>
      <c r="D76" s="54">
        <f>B76*('Other Factors'!$E$29+'Other Factors'!$F$29+'Other Factors'!$G$29)</f>
        <v>151854.59999999998</v>
      </c>
      <c r="E76" s="54">
        <f>(C76/'Other Factors'!$B$3)</f>
        <v>289072.7</v>
      </c>
      <c r="F76" s="87">
        <f>E76*'Other Factors'!$E$28/(SUM('Other Factors'!$E$28:$G$28))</f>
        <v>190245.3</v>
      </c>
      <c r="G76" s="87">
        <f>E76*'Other Factors'!$F$28/(SUM('Other Factors'!$E$28:$G$28))</f>
        <v>55954.5</v>
      </c>
      <c r="H76" s="87">
        <f>E76*'Other Factors'!$G$28/(SUM('Other Factors'!$E$28:$G$28))</f>
        <v>42872.900000000009</v>
      </c>
      <c r="I76" s="54">
        <f>D76/('Other Factors'!$B$4*'Other Factors'!$B$5)</f>
        <v>335.34557499999988</v>
      </c>
      <c r="J76" s="54">
        <f>I76*'Other Factors'!$E$29/(SUM('Other Factors'!$E$29:$G$29))</f>
        <v>148.27942499999995</v>
      </c>
      <c r="K76" s="158">
        <f>I76*'Other Factors'!$F$29/(SUM('Other Factors'!$E$29:$G$29))</f>
        <v>105.91387499999996</v>
      </c>
      <c r="L76" s="159">
        <f>I76*'Other Factors'!$G$29/(SUM('Other Factors'!$E$29:$G$29))</f>
        <v>81.152274999999989</v>
      </c>
      <c r="M76" s="63"/>
      <c r="N76" s="63"/>
      <c r="O76" s="63"/>
    </row>
    <row r="77" spans="1:15" x14ac:dyDescent="0.25">
      <c r="A77" s="12">
        <v>2044</v>
      </c>
      <c r="B77" s="54">
        <f t="shared" si="2"/>
        <v>730000</v>
      </c>
      <c r="C77" s="54">
        <f>B77*('Other Factors'!$E$28+'Other Factors'!$F$28+'Other Factors'!$G$28)</f>
        <v>578145.4</v>
      </c>
      <c r="D77" s="54">
        <f>B77*('Other Factors'!$E$29+'Other Factors'!$F$29+'Other Factors'!$G$29)</f>
        <v>151854.59999999998</v>
      </c>
      <c r="E77" s="54">
        <f>(C77/'Other Factors'!$B$3)</f>
        <v>289072.7</v>
      </c>
      <c r="F77" s="87">
        <f>E77*'Other Factors'!$E$28/(SUM('Other Factors'!$E$28:$G$28))</f>
        <v>190245.3</v>
      </c>
      <c r="G77" s="87">
        <f>E77*'Other Factors'!$F$28/(SUM('Other Factors'!$E$28:$G$28))</f>
        <v>55954.5</v>
      </c>
      <c r="H77" s="87">
        <f>E77*'Other Factors'!$G$28/(SUM('Other Factors'!$E$28:$G$28))</f>
        <v>42872.900000000009</v>
      </c>
      <c r="I77" s="54">
        <f>D77/('Other Factors'!$B$4*'Other Factors'!$B$5)</f>
        <v>335.34557499999988</v>
      </c>
      <c r="J77" s="54">
        <f>I77*'Other Factors'!$E$29/(SUM('Other Factors'!$E$29:$G$29))</f>
        <v>148.27942499999995</v>
      </c>
      <c r="K77" s="158">
        <f>I77*'Other Factors'!$F$29/(SUM('Other Factors'!$E$29:$G$29))</f>
        <v>105.91387499999996</v>
      </c>
      <c r="L77" s="159">
        <f>I77*'Other Factors'!$G$29/(SUM('Other Factors'!$E$29:$G$29))</f>
        <v>81.152274999999989</v>
      </c>
      <c r="M77" s="63"/>
      <c r="N77" s="63"/>
      <c r="O77" s="63"/>
    </row>
    <row r="78" spans="1:15" x14ac:dyDescent="0.25">
      <c r="A78" s="12">
        <v>2045</v>
      </c>
      <c r="B78" s="54">
        <f t="shared" si="2"/>
        <v>730000</v>
      </c>
      <c r="C78" s="54">
        <f>B78*('Other Factors'!$E$28+'Other Factors'!$F$28+'Other Factors'!$G$28)</f>
        <v>578145.4</v>
      </c>
      <c r="D78" s="54">
        <f>B78*('Other Factors'!$E$29+'Other Factors'!$F$29+'Other Factors'!$G$29)</f>
        <v>151854.59999999998</v>
      </c>
      <c r="E78" s="54">
        <f>(C78/'Other Factors'!$B$3)</f>
        <v>289072.7</v>
      </c>
      <c r="F78" s="87">
        <f>E78*'Other Factors'!$E$28/(SUM('Other Factors'!$E$28:$G$28))</f>
        <v>190245.3</v>
      </c>
      <c r="G78" s="87">
        <f>E78*'Other Factors'!$F$28/(SUM('Other Factors'!$E$28:$G$28))</f>
        <v>55954.5</v>
      </c>
      <c r="H78" s="87">
        <f>E78*'Other Factors'!$G$28/(SUM('Other Factors'!$E$28:$G$28))</f>
        <v>42872.900000000009</v>
      </c>
      <c r="I78" s="54">
        <f>D78/('Other Factors'!$B$4*'Other Factors'!$B$5)</f>
        <v>335.34557499999988</v>
      </c>
      <c r="J78" s="54">
        <f>I78*'Other Factors'!$E$29/(SUM('Other Factors'!$E$29:$G$29))</f>
        <v>148.27942499999995</v>
      </c>
      <c r="K78" s="158">
        <f>I78*'Other Factors'!$F$29/(SUM('Other Factors'!$E$29:$G$29))</f>
        <v>105.91387499999996</v>
      </c>
      <c r="L78" s="159">
        <f>I78*'Other Factors'!$G$29/(SUM('Other Factors'!$E$29:$G$29))</f>
        <v>81.152274999999989</v>
      </c>
      <c r="M78" s="63"/>
      <c r="N78" s="63"/>
      <c r="O78" s="63"/>
    </row>
    <row r="79" spans="1:15" x14ac:dyDescent="0.25">
      <c r="A79" s="12">
        <v>2046</v>
      </c>
      <c r="B79" s="54">
        <f t="shared" si="2"/>
        <v>730000</v>
      </c>
      <c r="C79" s="54">
        <f>B79*('Other Factors'!$E$28+'Other Factors'!$F$28+'Other Factors'!$G$28)</f>
        <v>578145.4</v>
      </c>
      <c r="D79" s="54">
        <f>B79*('Other Factors'!$E$29+'Other Factors'!$F$29+'Other Factors'!$G$29)</f>
        <v>151854.59999999998</v>
      </c>
      <c r="E79" s="54">
        <f>(C79/'Other Factors'!$B$3)</f>
        <v>289072.7</v>
      </c>
      <c r="F79" s="87">
        <f>E79*'Other Factors'!$E$28/(SUM('Other Factors'!$E$28:$G$28))</f>
        <v>190245.3</v>
      </c>
      <c r="G79" s="87">
        <f>E79*'Other Factors'!$F$28/(SUM('Other Factors'!$E$28:$G$28))</f>
        <v>55954.5</v>
      </c>
      <c r="H79" s="87">
        <f>E79*'Other Factors'!$G$28/(SUM('Other Factors'!$E$28:$G$28))</f>
        <v>42872.900000000009</v>
      </c>
      <c r="I79" s="54">
        <f>D79/('Other Factors'!$B$4*'Other Factors'!$B$5)</f>
        <v>335.34557499999988</v>
      </c>
      <c r="J79" s="54">
        <f>I79*'Other Factors'!$E$29/(SUM('Other Factors'!$E$29:$G$29))</f>
        <v>148.27942499999995</v>
      </c>
      <c r="K79" s="158">
        <f>I79*'Other Factors'!$F$29/(SUM('Other Factors'!$E$29:$G$29))</f>
        <v>105.91387499999996</v>
      </c>
      <c r="L79" s="159">
        <f>I79*'Other Factors'!$G$29/(SUM('Other Factors'!$E$29:$G$29))</f>
        <v>81.152274999999989</v>
      </c>
      <c r="M79" s="63"/>
      <c r="N79" s="63"/>
      <c r="O79" s="63"/>
    </row>
    <row r="80" spans="1:15" x14ac:dyDescent="0.25">
      <c r="A80" s="12">
        <v>2047</v>
      </c>
      <c r="B80" s="54">
        <f t="shared" si="2"/>
        <v>730000</v>
      </c>
      <c r="C80" s="54">
        <f>B80*('Other Factors'!$E$28+'Other Factors'!$F$28+'Other Factors'!$G$28)</f>
        <v>578145.4</v>
      </c>
      <c r="D80" s="54">
        <f>B80*('Other Factors'!$E$29+'Other Factors'!$F$29+'Other Factors'!$G$29)</f>
        <v>151854.59999999998</v>
      </c>
      <c r="E80" s="54">
        <f>(C80/'Other Factors'!$B$3)</f>
        <v>289072.7</v>
      </c>
      <c r="F80" s="87">
        <f>E80*'Other Factors'!$E$28/(SUM('Other Factors'!$E$28:$G$28))</f>
        <v>190245.3</v>
      </c>
      <c r="G80" s="87">
        <f>E80*'Other Factors'!$F$28/(SUM('Other Factors'!$E$28:$G$28))</f>
        <v>55954.5</v>
      </c>
      <c r="H80" s="87">
        <f>E80*'Other Factors'!$G$28/(SUM('Other Factors'!$E$28:$G$28))</f>
        <v>42872.900000000009</v>
      </c>
      <c r="I80" s="54">
        <f>D80/('Other Factors'!$B$4*'Other Factors'!$B$5)</f>
        <v>335.34557499999988</v>
      </c>
      <c r="J80" s="54">
        <f>I80*'Other Factors'!$E$29/(SUM('Other Factors'!$E$29:$G$29))</f>
        <v>148.27942499999995</v>
      </c>
      <c r="K80" s="158">
        <f>I80*'Other Factors'!$F$29/(SUM('Other Factors'!$E$29:$G$29))</f>
        <v>105.91387499999996</v>
      </c>
      <c r="L80" s="159">
        <f>I80*'Other Factors'!$G$29/(SUM('Other Factors'!$E$29:$G$29))</f>
        <v>81.152274999999989</v>
      </c>
      <c r="M80" s="61"/>
      <c r="N80" s="61"/>
    </row>
    <row r="81" spans="1:14" x14ac:dyDescent="0.25">
      <c r="A81" s="12">
        <v>2048</v>
      </c>
      <c r="B81" s="54">
        <f t="shared" si="2"/>
        <v>730000</v>
      </c>
      <c r="C81" s="54">
        <f>B81*('Other Factors'!$E$28+'Other Factors'!$F$28+'Other Factors'!$G$28)</f>
        <v>578145.4</v>
      </c>
      <c r="D81" s="54">
        <f>B81*('Other Factors'!$E$29+'Other Factors'!$F$29+'Other Factors'!$G$29)</f>
        <v>151854.59999999998</v>
      </c>
      <c r="E81" s="54">
        <f>(C81/'Other Factors'!$B$3)</f>
        <v>289072.7</v>
      </c>
      <c r="F81" s="87">
        <f>E81*'Other Factors'!$E$28/(SUM('Other Factors'!$E$28:$G$28))</f>
        <v>190245.3</v>
      </c>
      <c r="G81" s="87">
        <f>E81*'Other Factors'!$F$28/(SUM('Other Factors'!$E$28:$G$28))</f>
        <v>55954.5</v>
      </c>
      <c r="H81" s="87">
        <f>E81*'Other Factors'!$G$28/(SUM('Other Factors'!$E$28:$G$28))</f>
        <v>42872.900000000009</v>
      </c>
      <c r="I81" s="54">
        <f>D81/('Other Factors'!$B$4*'Other Factors'!$B$5)</f>
        <v>335.34557499999988</v>
      </c>
      <c r="J81" s="54">
        <f>I81*'Other Factors'!$E$29/(SUM('Other Factors'!$E$29:$G$29))</f>
        <v>148.27942499999995</v>
      </c>
      <c r="K81" s="158">
        <f>I81*'Other Factors'!$F$29/(SUM('Other Factors'!$E$29:$G$29))</f>
        <v>105.91387499999996</v>
      </c>
      <c r="L81" s="159">
        <f>I81*'Other Factors'!$G$29/(SUM('Other Factors'!$E$29:$G$29))</f>
        <v>81.152274999999989</v>
      </c>
      <c r="M81" s="61"/>
      <c r="N81" s="61"/>
    </row>
    <row r="82" spans="1:14" x14ac:dyDescent="0.25">
      <c r="A82" s="12">
        <v>2049</v>
      </c>
      <c r="B82" s="54">
        <f t="shared" si="2"/>
        <v>730000</v>
      </c>
      <c r="C82" s="54">
        <f>B82*('Other Factors'!$E$28+'Other Factors'!$F$28+'Other Factors'!$G$28)</f>
        <v>578145.4</v>
      </c>
      <c r="D82" s="54">
        <f>B82*('Other Factors'!$E$29+'Other Factors'!$F$29+'Other Factors'!$G$29)</f>
        <v>151854.59999999998</v>
      </c>
      <c r="E82" s="54">
        <f>(C82/'Other Factors'!$B$3)</f>
        <v>289072.7</v>
      </c>
      <c r="F82" s="87">
        <f>E82*'Other Factors'!$E$28/(SUM('Other Factors'!$E$28:$G$28))</f>
        <v>190245.3</v>
      </c>
      <c r="G82" s="87">
        <f>E82*'Other Factors'!$F$28/(SUM('Other Factors'!$E$28:$G$28))</f>
        <v>55954.5</v>
      </c>
      <c r="H82" s="87">
        <f>E82*'Other Factors'!$G$28/(SUM('Other Factors'!$E$28:$G$28))</f>
        <v>42872.900000000009</v>
      </c>
      <c r="I82" s="54">
        <f>D82/('Other Factors'!$B$4*'Other Factors'!$B$5)</f>
        <v>335.34557499999988</v>
      </c>
      <c r="J82" s="54">
        <f>I82*'Other Factors'!$E$29/(SUM('Other Factors'!$E$29:$G$29))</f>
        <v>148.27942499999995</v>
      </c>
      <c r="K82" s="158">
        <f>I82*'Other Factors'!$F$29/(SUM('Other Factors'!$E$29:$G$29))</f>
        <v>105.91387499999996</v>
      </c>
      <c r="L82" s="159">
        <f>I82*'Other Factors'!$G$29/(SUM('Other Factors'!$E$29:$G$29))</f>
        <v>81.152274999999989</v>
      </c>
      <c r="M82" s="61"/>
      <c r="N82" s="61"/>
    </row>
    <row r="83" spans="1:14" x14ac:dyDescent="0.25">
      <c r="A83" s="12">
        <v>2050</v>
      </c>
      <c r="B83" s="54">
        <f t="shared" si="2"/>
        <v>730000</v>
      </c>
      <c r="C83" s="54">
        <f>B83*('Other Factors'!$E$28+'Other Factors'!$F$28+'Other Factors'!$G$28)</f>
        <v>578145.4</v>
      </c>
      <c r="D83" s="54">
        <f>B83*('Other Factors'!$E$29+'Other Factors'!$F$29+'Other Factors'!$G$29)</f>
        <v>151854.59999999998</v>
      </c>
      <c r="E83" s="54">
        <f>(C83/'Other Factors'!$B$3)</f>
        <v>289072.7</v>
      </c>
      <c r="F83" s="87">
        <f>E83*'Other Factors'!$E$28/(SUM('Other Factors'!$E$28:$G$28))</f>
        <v>190245.3</v>
      </c>
      <c r="G83" s="87">
        <f>E83*'Other Factors'!$F$28/(SUM('Other Factors'!$E$28:$G$28))</f>
        <v>55954.5</v>
      </c>
      <c r="H83" s="87">
        <f>E83*'Other Factors'!$G$28/(SUM('Other Factors'!$E$28:$G$28))</f>
        <v>42872.900000000009</v>
      </c>
      <c r="I83" s="54">
        <f>D83/('Other Factors'!$B$4*'Other Factors'!$B$5)</f>
        <v>335.34557499999988</v>
      </c>
      <c r="J83" s="54">
        <f>I83*'Other Factors'!$E$29/(SUM('Other Factors'!$E$29:$G$29))</f>
        <v>148.27942499999995</v>
      </c>
      <c r="K83" s="158">
        <f>I83*'Other Factors'!$F$29/(SUM('Other Factors'!$E$29:$G$29))</f>
        <v>105.91387499999996</v>
      </c>
      <c r="L83" s="159">
        <f>I83*'Other Factors'!$G$29/(SUM('Other Factors'!$E$29:$G$29))</f>
        <v>81.152274999999989</v>
      </c>
      <c r="M83" s="61"/>
      <c r="N83" s="61"/>
    </row>
    <row r="84" spans="1:14" x14ac:dyDescent="0.25">
      <c r="A84" s="390">
        <v>2051</v>
      </c>
      <c r="B84" s="391">
        <f t="shared" si="2"/>
        <v>730000</v>
      </c>
      <c r="C84" s="391">
        <f>B84*('Other Factors'!$E$28+'Other Factors'!$F$28+'Other Factors'!$G$28)</f>
        <v>578145.4</v>
      </c>
      <c r="D84" s="391">
        <f>B84*('Other Factors'!$E$29+'Other Factors'!$F$29+'Other Factors'!$G$29)</f>
        <v>151854.59999999998</v>
      </c>
      <c r="E84" s="391">
        <f>(C84/'Other Factors'!$B$3)</f>
        <v>289072.7</v>
      </c>
      <c r="F84" s="393">
        <f>E84*'Other Factors'!$E$28/(SUM('Other Factors'!$E$28:$G$28))</f>
        <v>190245.3</v>
      </c>
      <c r="G84" s="393">
        <f>E84*'Other Factors'!$F$28/(SUM('Other Factors'!$E$28:$G$28))</f>
        <v>55954.5</v>
      </c>
      <c r="H84" s="393">
        <f>E84*'Other Factors'!$G$28/(SUM('Other Factors'!$E$28:$G$28))</f>
        <v>42872.900000000009</v>
      </c>
      <c r="I84" s="391">
        <f>D84/('Other Factors'!$B$4*'Other Factors'!$B$5)</f>
        <v>335.34557499999988</v>
      </c>
      <c r="J84" s="391">
        <f>I84*'Other Factors'!$E$29/(SUM('Other Factors'!$E$29:$G$29))</f>
        <v>148.27942499999995</v>
      </c>
      <c r="K84" s="394">
        <f>I84*'Other Factors'!$F$29/(SUM('Other Factors'!$E$29:$G$29))</f>
        <v>105.91387499999996</v>
      </c>
      <c r="L84" s="395">
        <f>I84*'Other Factors'!$G$29/(SUM('Other Factors'!$E$29:$G$29))</f>
        <v>81.152274999999989</v>
      </c>
      <c r="M84" s="61"/>
      <c r="N84" s="61"/>
    </row>
    <row r="85" spans="1:14" x14ac:dyDescent="0.25">
      <c r="A85" s="12" t="s">
        <v>2</v>
      </c>
      <c r="B85" s="63">
        <f t="shared" ref="B85:L85" si="3">SUM(B47:B84)</f>
        <v>17880000</v>
      </c>
      <c r="C85" s="63">
        <f t="shared" si="3"/>
        <v>14160602.400000006</v>
      </c>
      <c r="D85" s="63">
        <f t="shared" si="3"/>
        <v>3719397.6000000015</v>
      </c>
      <c r="E85" s="63">
        <f t="shared" si="3"/>
        <v>7080301.200000003</v>
      </c>
      <c r="F85" s="63">
        <f t="shared" si="3"/>
        <v>4659706.799999998</v>
      </c>
      <c r="G85" s="63">
        <f t="shared" si="3"/>
        <v>1370502</v>
      </c>
      <c r="H85" s="63">
        <f t="shared" si="3"/>
        <v>1050092.4000000004</v>
      </c>
      <c r="I85" s="63">
        <f t="shared" si="3"/>
        <v>8213.6697000000022</v>
      </c>
      <c r="J85" s="63">
        <f t="shared" si="3"/>
        <v>3631.8302999999969</v>
      </c>
      <c r="K85" s="63">
        <f t="shared" si="3"/>
        <v>2594.1644999999999</v>
      </c>
      <c r="L85" s="62">
        <f t="shared" si="3"/>
        <v>1987.6748999999991</v>
      </c>
      <c r="M85" s="61"/>
      <c r="N85" s="61"/>
    </row>
    <row r="86" spans="1:14" ht="3.75" customHeight="1" thickBot="1" x14ac:dyDescent="0.3">
      <c r="A86" s="58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60"/>
    </row>
    <row r="88" spans="1:14" ht="15.75" thickBot="1" x14ac:dyDescent="0.3"/>
    <row r="89" spans="1:14" ht="18.75" x14ac:dyDescent="0.3">
      <c r="A89" s="156" t="s">
        <v>248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1:14" ht="57" customHeight="1" x14ac:dyDescent="0.25">
      <c r="A90" s="331" t="s">
        <v>3</v>
      </c>
      <c r="B90" s="327" t="s">
        <v>249</v>
      </c>
      <c r="C90" s="327" t="s">
        <v>141</v>
      </c>
      <c r="D90" s="327" t="s">
        <v>142</v>
      </c>
      <c r="E90" s="327" t="s">
        <v>251</v>
      </c>
      <c r="F90" s="329" t="s">
        <v>250</v>
      </c>
      <c r="G90" s="327" t="s">
        <v>252</v>
      </c>
      <c r="H90" s="327" t="s">
        <v>253</v>
      </c>
      <c r="I90" s="327" t="s">
        <v>254</v>
      </c>
      <c r="J90" s="329" t="s">
        <v>255</v>
      </c>
      <c r="K90" s="327" t="s">
        <v>256</v>
      </c>
      <c r="L90" s="330" t="s">
        <v>257</v>
      </c>
    </row>
    <row r="91" spans="1:14" ht="16.5" customHeight="1" x14ac:dyDescent="0.25">
      <c r="A91" s="13">
        <v>2014</v>
      </c>
      <c r="B91" s="54">
        <f t="shared" ref="B91:L91" si="4">B47-B3</f>
        <v>0</v>
      </c>
      <c r="C91" s="54">
        <f t="shared" si="4"/>
        <v>0</v>
      </c>
      <c r="D91" s="54">
        <f t="shared" si="4"/>
        <v>0</v>
      </c>
      <c r="E91" s="54">
        <f t="shared" si="4"/>
        <v>0</v>
      </c>
      <c r="F91" s="54">
        <f t="shared" si="4"/>
        <v>0</v>
      </c>
      <c r="G91" s="54">
        <f t="shared" si="4"/>
        <v>0</v>
      </c>
      <c r="H91" s="54">
        <f t="shared" si="4"/>
        <v>0</v>
      </c>
      <c r="I91" s="54">
        <f t="shared" si="4"/>
        <v>0</v>
      </c>
      <c r="J91" s="54">
        <f t="shared" si="4"/>
        <v>0</v>
      </c>
      <c r="K91" s="54">
        <f t="shared" si="4"/>
        <v>0</v>
      </c>
      <c r="L91" s="160">
        <f t="shared" si="4"/>
        <v>0</v>
      </c>
    </row>
    <row r="92" spans="1:14" x14ac:dyDescent="0.25">
      <c r="A92" s="12">
        <v>2015</v>
      </c>
      <c r="B92" s="54">
        <f t="shared" ref="B92:L92" si="5">B48-B4</f>
        <v>0</v>
      </c>
      <c r="C92" s="54">
        <f t="shared" si="5"/>
        <v>0</v>
      </c>
      <c r="D92" s="54">
        <f t="shared" si="5"/>
        <v>0</v>
      </c>
      <c r="E92" s="54">
        <f t="shared" si="5"/>
        <v>0</v>
      </c>
      <c r="F92" s="54">
        <f t="shared" si="5"/>
        <v>0</v>
      </c>
      <c r="G92" s="54">
        <f t="shared" si="5"/>
        <v>0</v>
      </c>
      <c r="H92" s="54">
        <f t="shared" si="5"/>
        <v>0</v>
      </c>
      <c r="I92" s="54">
        <f t="shared" si="5"/>
        <v>0</v>
      </c>
      <c r="J92" s="54">
        <f t="shared" si="5"/>
        <v>0</v>
      </c>
      <c r="K92" s="54">
        <f t="shared" si="5"/>
        <v>0</v>
      </c>
      <c r="L92" s="160">
        <f t="shared" si="5"/>
        <v>0</v>
      </c>
    </row>
    <row r="93" spans="1:14" x14ac:dyDescent="0.25">
      <c r="A93" s="13">
        <v>2016</v>
      </c>
      <c r="B93" s="54">
        <f t="shared" ref="B93:L93" si="6">B49-B5</f>
        <v>0</v>
      </c>
      <c r="C93" s="54">
        <f t="shared" si="6"/>
        <v>0</v>
      </c>
      <c r="D93" s="54">
        <f t="shared" si="6"/>
        <v>0</v>
      </c>
      <c r="E93" s="54">
        <f t="shared" si="6"/>
        <v>0</v>
      </c>
      <c r="F93" s="54">
        <f t="shared" si="6"/>
        <v>0</v>
      </c>
      <c r="G93" s="54">
        <f t="shared" si="6"/>
        <v>0</v>
      </c>
      <c r="H93" s="54">
        <f t="shared" si="6"/>
        <v>0</v>
      </c>
      <c r="I93" s="54">
        <f t="shared" si="6"/>
        <v>0</v>
      </c>
      <c r="J93" s="54">
        <f t="shared" si="6"/>
        <v>0</v>
      </c>
      <c r="K93" s="54">
        <f t="shared" si="6"/>
        <v>0</v>
      </c>
      <c r="L93" s="160">
        <f t="shared" si="6"/>
        <v>0</v>
      </c>
    </row>
    <row r="94" spans="1:14" x14ac:dyDescent="0.25">
      <c r="A94" s="13">
        <v>2017</v>
      </c>
      <c r="B94" s="54">
        <f t="shared" ref="B94:L94" si="7">B50-B6</f>
        <v>0</v>
      </c>
      <c r="C94" s="54">
        <f t="shared" si="7"/>
        <v>0</v>
      </c>
      <c r="D94" s="54">
        <f t="shared" si="7"/>
        <v>0</v>
      </c>
      <c r="E94" s="54">
        <f t="shared" si="7"/>
        <v>0</v>
      </c>
      <c r="F94" s="54">
        <f t="shared" si="7"/>
        <v>0</v>
      </c>
      <c r="G94" s="54">
        <f t="shared" si="7"/>
        <v>0</v>
      </c>
      <c r="H94" s="54">
        <f t="shared" si="7"/>
        <v>0</v>
      </c>
      <c r="I94" s="54">
        <f t="shared" si="7"/>
        <v>0</v>
      </c>
      <c r="J94" s="54">
        <f t="shared" si="7"/>
        <v>0</v>
      </c>
      <c r="K94" s="54">
        <f t="shared" si="7"/>
        <v>0</v>
      </c>
      <c r="L94" s="160">
        <f t="shared" si="7"/>
        <v>0</v>
      </c>
    </row>
    <row r="95" spans="1:14" x14ac:dyDescent="0.25">
      <c r="A95" s="13">
        <v>2018</v>
      </c>
      <c r="B95" s="54">
        <f t="shared" ref="B95:L95" si="8">B51-B7</f>
        <v>0</v>
      </c>
      <c r="C95" s="54">
        <f t="shared" si="8"/>
        <v>0</v>
      </c>
      <c r="D95" s="54">
        <f t="shared" si="8"/>
        <v>0</v>
      </c>
      <c r="E95" s="54">
        <f t="shared" si="8"/>
        <v>0</v>
      </c>
      <c r="F95" s="54">
        <f t="shared" si="8"/>
        <v>0</v>
      </c>
      <c r="G95" s="54">
        <f t="shared" si="8"/>
        <v>0</v>
      </c>
      <c r="H95" s="54">
        <f t="shared" si="8"/>
        <v>0</v>
      </c>
      <c r="I95" s="54">
        <f t="shared" si="8"/>
        <v>0</v>
      </c>
      <c r="J95" s="54">
        <f t="shared" si="8"/>
        <v>0</v>
      </c>
      <c r="K95" s="54">
        <f t="shared" si="8"/>
        <v>0</v>
      </c>
      <c r="L95" s="160">
        <f t="shared" si="8"/>
        <v>0</v>
      </c>
    </row>
    <row r="96" spans="1:14" x14ac:dyDescent="0.25">
      <c r="A96" s="12">
        <v>2019</v>
      </c>
      <c r="B96" s="54">
        <f t="shared" ref="B96:L96" si="9">B52-B8</f>
        <v>0</v>
      </c>
      <c r="C96" s="54">
        <f t="shared" si="9"/>
        <v>0</v>
      </c>
      <c r="D96" s="54">
        <f t="shared" si="9"/>
        <v>0</v>
      </c>
      <c r="E96" s="54">
        <f t="shared" si="9"/>
        <v>0</v>
      </c>
      <c r="F96" s="54">
        <f t="shared" si="9"/>
        <v>0</v>
      </c>
      <c r="G96" s="54">
        <f t="shared" si="9"/>
        <v>0</v>
      </c>
      <c r="H96" s="54">
        <f t="shared" si="9"/>
        <v>0</v>
      </c>
      <c r="I96" s="54">
        <f t="shared" si="9"/>
        <v>0</v>
      </c>
      <c r="J96" s="54">
        <f t="shared" si="9"/>
        <v>0</v>
      </c>
      <c r="K96" s="54">
        <f t="shared" si="9"/>
        <v>0</v>
      </c>
      <c r="L96" s="160">
        <f t="shared" si="9"/>
        <v>0</v>
      </c>
    </row>
    <row r="97" spans="1:12" x14ac:dyDescent="0.25">
      <c r="A97" s="12">
        <v>2020</v>
      </c>
      <c r="B97" s="54">
        <f t="shared" ref="B97:L97" si="10">B53-B9</f>
        <v>0</v>
      </c>
      <c r="C97" s="54">
        <f t="shared" si="10"/>
        <v>0</v>
      </c>
      <c r="D97" s="54">
        <f t="shared" si="10"/>
        <v>0</v>
      </c>
      <c r="E97" s="54">
        <f t="shared" si="10"/>
        <v>0</v>
      </c>
      <c r="F97" s="54">
        <f t="shared" si="10"/>
        <v>0</v>
      </c>
      <c r="G97" s="54">
        <f t="shared" si="10"/>
        <v>0</v>
      </c>
      <c r="H97" s="54">
        <f t="shared" si="10"/>
        <v>0</v>
      </c>
      <c r="I97" s="54">
        <f t="shared" si="10"/>
        <v>0</v>
      </c>
      <c r="J97" s="54">
        <f t="shared" si="10"/>
        <v>0</v>
      </c>
      <c r="K97" s="54">
        <f t="shared" si="10"/>
        <v>0</v>
      </c>
      <c r="L97" s="160">
        <f t="shared" si="10"/>
        <v>0</v>
      </c>
    </row>
    <row r="98" spans="1:12" x14ac:dyDescent="0.25">
      <c r="A98" s="13">
        <v>2021</v>
      </c>
      <c r="B98" s="54">
        <f t="shared" ref="B98:L98" si="11">B54-B10</f>
        <v>0</v>
      </c>
      <c r="C98" s="54">
        <f t="shared" si="11"/>
        <v>0</v>
      </c>
      <c r="D98" s="54">
        <f t="shared" si="11"/>
        <v>0</v>
      </c>
      <c r="E98" s="54">
        <f t="shared" si="11"/>
        <v>0</v>
      </c>
      <c r="F98" s="54">
        <f t="shared" si="11"/>
        <v>0</v>
      </c>
      <c r="G98" s="54">
        <f t="shared" si="11"/>
        <v>0</v>
      </c>
      <c r="H98" s="54">
        <f t="shared" si="11"/>
        <v>0</v>
      </c>
      <c r="I98" s="54">
        <f t="shared" si="11"/>
        <v>0</v>
      </c>
      <c r="J98" s="54">
        <f t="shared" si="11"/>
        <v>0</v>
      </c>
      <c r="K98" s="54">
        <f t="shared" si="11"/>
        <v>0</v>
      </c>
      <c r="L98" s="160">
        <f t="shared" si="11"/>
        <v>0</v>
      </c>
    </row>
    <row r="99" spans="1:12" x14ac:dyDescent="0.25">
      <c r="A99" s="12">
        <v>2022</v>
      </c>
      <c r="B99" s="54">
        <f t="shared" ref="B99:L99" si="12">B55-B11</f>
        <v>0</v>
      </c>
      <c r="C99" s="54">
        <f t="shared" si="12"/>
        <v>-4200.9999999999927</v>
      </c>
      <c r="D99" s="54">
        <f t="shared" si="12"/>
        <v>4201</v>
      </c>
      <c r="E99" s="54">
        <f t="shared" si="12"/>
        <v>-2100.4999999999964</v>
      </c>
      <c r="F99" s="54">
        <f t="shared" si="12"/>
        <v>-2299.4999999999982</v>
      </c>
      <c r="G99" s="54">
        <f t="shared" si="12"/>
        <v>-1642.5000000000005</v>
      </c>
      <c r="H99" s="54">
        <f t="shared" si="12"/>
        <v>1841.5000000000005</v>
      </c>
      <c r="I99" s="54">
        <f t="shared" si="12"/>
        <v>9.2772083333333324</v>
      </c>
      <c r="J99" s="54">
        <f t="shared" si="12"/>
        <v>10.156124999999999</v>
      </c>
      <c r="K99" s="54">
        <f t="shared" si="12"/>
        <v>7.2543749999999996</v>
      </c>
      <c r="L99" s="160">
        <f t="shared" si="12"/>
        <v>-8.1332916666666648</v>
      </c>
    </row>
    <row r="100" spans="1:12" x14ac:dyDescent="0.25">
      <c r="A100" s="12">
        <v>2023</v>
      </c>
      <c r="B100" s="54">
        <f t="shared" ref="B100:L100" si="13">B56-B12</f>
        <v>0</v>
      </c>
      <c r="C100" s="54">
        <f t="shared" si="13"/>
        <v>-8401.9999999999854</v>
      </c>
      <c r="D100" s="54">
        <f t="shared" si="13"/>
        <v>8402</v>
      </c>
      <c r="E100" s="54">
        <f t="shared" si="13"/>
        <v>-4200.9999999999927</v>
      </c>
      <c r="F100" s="54">
        <f t="shared" si="13"/>
        <v>-4598.9999999999964</v>
      </c>
      <c r="G100" s="54">
        <f t="shared" si="13"/>
        <v>-3285.0000000000009</v>
      </c>
      <c r="H100" s="54">
        <f t="shared" si="13"/>
        <v>3683.0000000000009</v>
      </c>
      <c r="I100" s="54">
        <f t="shared" si="13"/>
        <v>18.554416666666665</v>
      </c>
      <c r="J100" s="54">
        <f t="shared" si="13"/>
        <v>20.312249999999999</v>
      </c>
      <c r="K100" s="54">
        <f t="shared" si="13"/>
        <v>14.508749999999999</v>
      </c>
      <c r="L100" s="160">
        <f t="shared" si="13"/>
        <v>-16.26658333333333</v>
      </c>
    </row>
    <row r="101" spans="1:12" x14ac:dyDescent="0.25">
      <c r="A101" s="12">
        <v>2024</v>
      </c>
      <c r="B101" s="54">
        <f t="shared" ref="B101:L101" si="14">B57-B13</f>
        <v>0</v>
      </c>
      <c r="C101" s="54">
        <f t="shared" si="14"/>
        <v>-12602.999999999971</v>
      </c>
      <c r="D101" s="54">
        <f t="shared" si="14"/>
        <v>12602.999999999996</v>
      </c>
      <c r="E101" s="54">
        <f t="shared" si="14"/>
        <v>-6301.4999999999854</v>
      </c>
      <c r="F101" s="54">
        <f t="shared" si="14"/>
        <v>-6898.4999999999927</v>
      </c>
      <c r="G101" s="54">
        <f t="shared" si="14"/>
        <v>-4927.5</v>
      </c>
      <c r="H101" s="54">
        <f t="shared" si="14"/>
        <v>5524.5</v>
      </c>
      <c r="I101" s="54">
        <f t="shared" si="14"/>
        <v>27.831624999999981</v>
      </c>
      <c r="J101" s="54">
        <f t="shared" si="14"/>
        <v>30.468374999999991</v>
      </c>
      <c r="K101" s="54">
        <f t="shared" si="14"/>
        <v>21.763124999999992</v>
      </c>
      <c r="L101" s="160">
        <f t="shared" si="14"/>
        <v>-24.399875000000002</v>
      </c>
    </row>
    <row r="102" spans="1:12" x14ac:dyDescent="0.25">
      <c r="A102" s="12">
        <v>2025</v>
      </c>
      <c r="B102" s="54">
        <f t="shared" ref="B102:L102" si="15">B58-B14</f>
        <v>0</v>
      </c>
      <c r="C102" s="54">
        <f t="shared" si="15"/>
        <v>-16803.999999999971</v>
      </c>
      <c r="D102" s="54">
        <f t="shared" si="15"/>
        <v>16804</v>
      </c>
      <c r="E102" s="54">
        <f t="shared" si="15"/>
        <v>-8401.9999999999854</v>
      </c>
      <c r="F102" s="54">
        <f t="shared" si="15"/>
        <v>-9197.9999999999927</v>
      </c>
      <c r="G102" s="54">
        <f t="shared" si="15"/>
        <v>-6570.0000000000018</v>
      </c>
      <c r="H102" s="54">
        <f t="shared" si="15"/>
        <v>7366.0000000000018</v>
      </c>
      <c r="I102" s="54">
        <f t="shared" si="15"/>
        <v>37.10883333333333</v>
      </c>
      <c r="J102" s="54">
        <f t="shared" si="15"/>
        <v>40.624499999999998</v>
      </c>
      <c r="K102" s="54">
        <f t="shared" si="15"/>
        <v>29.017499999999998</v>
      </c>
      <c r="L102" s="160">
        <f t="shared" si="15"/>
        <v>-32.533166666666659</v>
      </c>
    </row>
    <row r="103" spans="1:12" x14ac:dyDescent="0.25">
      <c r="A103" s="12">
        <v>2026</v>
      </c>
      <c r="B103" s="54">
        <f t="shared" ref="B103:L103" si="16">B59-B15</f>
        <v>0</v>
      </c>
      <c r="C103" s="54">
        <f t="shared" si="16"/>
        <v>-21004.999999999971</v>
      </c>
      <c r="D103" s="54">
        <f t="shared" si="16"/>
        <v>21004.999999999993</v>
      </c>
      <c r="E103" s="54">
        <f t="shared" si="16"/>
        <v>-10502.499999999985</v>
      </c>
      <c r="F103" s="54">
        <f t="shared" si="16"/>
        <v>-11497.5</v>
      </c>
      <c r="G103" s="54">
        <f t="shared" si="16"/>
        <v>-8212.5</v>
      </c>
      <c r="H103" s="54">
        <f t="shared" si="16"/>
        <v>9207.5</v>
      </c>
      <c r="I103" s="54">
        <f t="shared" si="16"/>
        <v>46.386041666666642</v>
      </c>
      <c r="J103" s="54">
        <f t="shared" si="16"/>
        <v>50.780624999999986</v>
      </c>
      <c r="K103" s="54">
        <f t="shared" si="16"/>
        <v>36.271874999999987</v>
      </c>
      <c r="L103" s="160">
        <f t="shared" si="16"/>
        <v>-40.666458333333338</v>
      </c>
    </row>
    <row r="104" spans="1:12" x14ac:dyDescent="0.25">
      <c r="A104" s="12">
        <v>2027</v>
      </c>
      <c r="B104" s="54">
        <f t="shared" ref="B104:L104" si="17">B60-B16</f>
        <v>0</v>
      </c>
      <c r="C104" s="54">
        <f t="shared" si="17"/>
        <v>-25205.999999999942</v>
      </c>
      <c r="D104" s="54">
        <f t="shared" si="17"/>
        <v>25205.999999999993</v>
      </c>
      <c r="E104" s="54">
        <f t="shared" si="17"/>
        <v>-12602.999999999971</v>
      </c>
      <c r="F104" s="54">
        <f t="shared" si="17"/>
        <v>-13796.999999999985</v>
      </c>
      <c r="G104" s="54">
        <f t="shared" si="17"/>
        <v>-9855</v>
      </c>
      <c r="H104" s="54">
        <f t="shared" si="17"/>
        <v>11049</v>
      </c>
      <c r="I104" s="54">
        <f t="shared" si="17"/>
        <v>55.663249999999962</v>
      </c>
      <c r="J104" s="54">
        <f t="shared" si="17"/>
        <v>60.936749999999982</v>
      </c>
      <c r="K104" s="54">
        <f t="shared" si="17"/>
        <v>43.526249999999983</v>
      </c>
      <c r="L104" s="160">
        <f t="shared" si="17"/>
        <v>-48.799750000000003</v>
      </c>
    </row>
    <row r="105" spans="1:12" x14ac:dyDescent="0.25">
      <c r="A105" s="12">
        <v>2028</v>
      </c>
      <c r="B105" s="54">
        <f t="shared" ref="B105:L105" si="18">B61-B17</f>
        <v>0</v>
      </c>
      <c r="C105" s="54">
        <f t="shared" si="18"/>
        <v>-33607.999999999942</v>
      </c>
      <c r="D105" s="54">
        <f t="shared" si="18"/>
        <v>33608</v>
      </c>
      <c r="E105" s="54">
        <f t="shared" si="18"/>
        <v>-16803.999999999971</v>
      </c>
      <c r="F105" s="54">
        <f t="shared" si="18"/>
        <v>-18395.999999999985</v>
      </c>
      <c r="G105" s="54">
        <f t="shared" si="18"/>
        <v>-13140.000000000004</v>
      </c>
      <c r="H105" s="54">
        <f t="shared" si="18"/>
        <v>14732.000000000004</v>
      </c>
      <c r="I105" s="54">
        <f t="shared" si="18"/>
        <v>74.217666666666659</v>
      </c>
      <c r="J105" s="54">
        <f t="shared" si="18"/>
        <v>81.248999999999995</v>
      </c>
      <c r="K105" s="54">
        <f t="shared" si="18"/>
        <v>58.034999999999997</v>
      </c>
      <c r="L105" s="160">
        <f t="shared" si="18"/>
        <v>-65.066333333333318</v>
      </c>
    </row>
    <row r="106" spans="1:12" x14ac:dyDescent="0.25">
      <c r="A106" s="12">
        <v>2029</v>
      </c>
      <c r="B106" s="54">
        <f t="shared" ref="B106:L106" si="19">B62-B18</f>
        <v>0</v>
      </c>
      <c r="C106" s="54">
        <f t="shared" si="19"/>
        <v>-42009.999999999942</v>
      </c>
      <c r="D106" s="54">
        <f t="shared" si="19"/>
        <v>42009.999999999985</v>
      </c>
      <c r="E106" s="54">
        <f t="shared" si="19"/>
        <v>-21004.999999999971</v>
      </c>
      <c r="F106" s="54">
        <f t="shared" si="19"/>
        <v>-22995</v>
      </c>
      <c r="G106" s="54">
        <f t="shared" si="19"/>
        <v>-16425</v>
      </c>
      <c r="H106" s="54">
        <f t="shared" si="19"/>
        <v>18415</v>
      </c>
      <c r="I106" s="54">
        <f t="shared" si="19"/>
        <v>92.772083333333285</v>
      </c>
      <c r="J106" s="54">
        <f t="shared" si="19"/>
        <v>101.56124999999997</v>
      </c>
      <c r="K106" s="54">
        <f t="shared" si="19"/>
        <v>72.543749999999974</v>
      </c>
      <c r="L106" s="160">
        <f t="shared" si="19"/>
        <v>-81.332916666666677</v>
      </c>
    </row>
    <row r="107" spans="1:12" x14ac:dyDescent="0.25">
      <c r="A107" s="12">
        <v>2030</v>
      </c>
      <c r="B107" s="54">
        <f t="shared" ref="B107:L107" si="20">B63-B19</f>
        <v>0</v>
      </c>
      <c r="C107" s="54">
        <f t="shared" si="20"/>
        <v>-50411.999999999884</v>
      </c>
      <c r="D107" s="54">
        <f t="shared" si="20"/>
        <v>50411.999999999985</v>
      </c>
      <c r="E107" s="54">
        <f t="shared" si="20"/>
        <v>-25205.999999999942</v>
      </c>
      <c r="F107" s="54">
        <f t="shared" si="20"/>
        <v>-27593.999999999971</v>
      </c>
      <c r="G107" s="54">
        <f t="shared" si="20"/>
        <v>-19710</v>
      </c>
      <c r="H107" s="54">
        <f t="shared" si="20"/>
        <v>22098</v>
      </c>
      <c r="I107" s="54">
        <f t="shared" si="20"/>
        <v>111.32649999999992</v>
      </c>
      <c r="J107" s="54">
        <f t="shared" si="20"/>
        <v>121.87349999999996</v>
      </c>
      <c r="K107" s="54">
        <f t="shared" si="20"/>
        <v>87.052499999999966</v>
      </c>
      <c r="L107" s="160">
        <f t="shared" si="20"/>
        <v>-97.599500000000006</v>
      </c>
    </row>
    <row r="108" spans="1:12" x14ac:dyDescent="0.25">
      <c r="A108" s="12">
        <v>2031</v>
      </c>
      <c r="B108" s="54">
        <f t="shared" ref="B108:L108" si="21">B64-B20</f>
        <v>0</v>
      </c>
      <c r="C108" s="54">
        <f t="shared" si="21"/>
        <v>-61334.59999999986</v>
      </c>
      <c r="D108" s="54">
        <f t="shared" si="21"/>
        <v>61334.599999999977</v>
      </c>
      <c r="E108" s="54">
        <f t="shared" si="21"/>
        <v>-30667.29999999993</v>
      </c>
      <c r="F108" s="54">
        <f t="shared" si="21"/>
        <v>-33572.699999999983</v>
      </c>
      <c r="G108" s="54">
        <f t="shared" si="21"/>
        <v>-23980.499999999985</v>
      </c>
      <c r="H108" s="54">
        <f t="shared" si="21"/>
        <v>26885.900000000009</v>
      </c>
      <c r="I108" s="54">
        <f t="shared" si="21"/>
        <v>135.44724166666657</v>
      </c>
      <c r="J108" s="54">
        <f t="shared" si="21"/>
        <v>148.27942499999995</v>
      </c>
      <c r="K108" s="54">
        <f t="shared" si="21"/>
        <v>105.91387499999996</v>
      </c>
      <c r="L108" s="160">
        <f t="shared" si="21"/>
        <v>-118.74605833333332</v>
      </c>
    </row>
    <row r="109" spans="1:12" x14ac:dyDescent="0.25">
      <c r="A109" s="12">
        <v>2032</v>
      </c>
      <c r="B109" s="54">
        <f t="shared" ref="B109:L109" si="22">B65-B21</f>
        <v>0</v>
      </c>
      <c r="C109" s="54">
        <f t="shared" si="22"/>
        <v>-61334.59999999986</v>
      </c>
      <c r="D109" s="54">
        <f t="shared" si="22"/>
        <v>61334.599999999977</v>
      </c>
      <c r="E109" s="54">
        <f t="shared" si="22"/>
        <v>-30667.29999999993</v>
      </c>
      <c r="F109" s="54">
        <f t="shared" si="22"/>
        <v>-33572.699999999983</v>
      </c>
      <c r="G109" s="54">
        <f t="shared" si="22"/>
        <v>-23980.499999999985</v>
      </c>
      <c r="H109" s="54">
        <f t="shared" si="22"/>
        <v>26885.900000000009</v>
      </c>
      <c r="I109" s="54">
        <f t="shared" si="22"/>
        <v>135.44724166666657</v>
      </c>
      <c r="J109" s="54">
        <f t="shared" si="22"/>
        <v>148.27942499999995</v>
      </c>
      <c r="K109" s="54">
        <f t="shared" si="22"/>
        <v>105.91387499999996</v>
      </c>
      <c r="L109" s="160">
        <f t="shared" si="22"/>
        <v>-118.74605833333332</v>
      </c>
    </row>
    <row r="110" spans="1:12" x14ac:dyDescent="0.25">
      <c r="A110" s="12">
        <v>2033</v>
      </c>
      <c r="B110" s="54">
        <f t="shared" ref="B110:L110" si="23">B66-B22</f>
        <v>0</v>
      </c>
      <c r="C110" s="54">
        <f t="shared" si="23"/>
        <v>-61334.59999999986</v>
      </c>
      <c r="D110" s="54">
        <f t="shared" si="23"/>
        <v>61334.599999999977</v>
      </c>
      <c r="E110" s="54">
        <f t="shared" si="23"/>
        <v>-30667.29999999993</v>
      </c>
      <c r="F110" s="54">
        <f t="shared" si="23"/>
        <v>-33572.699999999983</v>
      </c>
      <c r="G110" s="54">
        <f t="shared" si="23"/>
        <v>-23980.499999999985</v>
      </c>
      <c r="H110" s="54">
        <f t="shared" si="23"/>
        <v>26885.900000000009</v>
      </c>
      <c r="I110" s="54">
        <f t="shared" si="23"/>
        <v>135.44724166666657</v>
      </c>
      <c r="J110" s="54">
        <f t="shared" si="23"/>
        <v>148.27942499999995</v>
      </c>
      <c r="K110" s="54">
        <f t="shared" si="23"/>
        <v>105.91387499999996</v>
      </c>
      <c r="L110" s="160">
        <f t="shared" si="23"/>
        <v>-118.74605833333332</v>
      </c>
    </row>
    <row r="111" spans="1:12" x14ac:dyDescent="0.25">
      <c r="A111" s="12">
        <v>2034</v>
      </c>
      <c r="B111" s="54">
        <f t="shared" ref="B111:L111" si="24">B67-B23</f>
        <v>0</v>
      </c>
      <c r="C111" s="54">
        <f t="shared" si="24"/>
        <v>-61334.59999999986</v>
      </c>
      <c r="D111" s="54">
        <f t="shared" si="24"/>
        <v>61334.599999999977</v>
      </c>
      <c r="E111" s="54">
        <f t="shared" si="24"/>
        <v>-30667.29999999993</v>
      </c>
      <c r="F111" s="54">
        <f t="shared" si="24"/>
        <v>-33572.699999999983</v>
      </c>
      <c r="G111" s="54">
        <f t="shared" si="24"/>
        <v>-23980.499999999985</v>
      </c>
      <c r="H111" s="54">
        <f t="shared" si="24"/>
        <v>26885.900000000009</v>
      </c>
      <c r="I111" s="54">
        <f t="shared" si="24"/>
        <v>135.44724166666657</v>
      </c>
      <c r="J111" s="54">
        <f t="shared" si="24"/>
        <v>148.27942499999995</v>
      </c>
      <c r="K111" s="54">
        <f t="shared" si="24"/>
        <v>105.91387499999996</v>
      </c>
      <c r="L111" s="160">
        <f t="shared" si="24"/>
        <v>-118.74605833333332</v>
      </c>
    </row>
    <row r="112" spans="1:12" x14ac:dyDescent="0.25">
      <c r="A112" s="12">
        <v>2035</v>
      </c>
      <c r="B112" s="54">
        <f t="shared" ref="B112:L112" si="25">B68-B24</f>
        <v>0</v>
      </c>
      <c r="C112" s="54">
        <f t="shared" si="25"/>
        <v>-61334.59999999986</v>
      </c>
      <c r="D112" s="54">
        <f t="shared" si="25"/>
        <v>61334.599999999977</v>
      </c>
      <c r="E112" s="54">
        <f t="shared" si="25"/>
        <v>-30667.29999999993</v>
      </c>
      <c r="F112" s="54">
        <f t="shared" si="25"/>
        <v>-33572.699999999983</v>
      </c>
      <c r="G112" s="54">
        <f t="shared" si="25"/>
        <v>-23980.499999999985</v>
      </c>
      <c r="H112" s="54">
        <f t="shared" si="25"/>
        <v>26885.900000000009</v>
      </c>
      <c r="I112" s="54">
        <f t="shared" si="25"/>
        <v>135.44724166666657</v>
      </c>
      <c r="J112" s="54">
        <f t="shared" si="25"/>
        <v>148.27942499999995</v>
      </c>
      <c r="K112" s="54">
        <f t="shared" si="25"/>
        <v>105.91387499999996</v>
      </c>
      <c r="L112" s="160">
        <f t="shared" si="25"/>
        <v>-118.74605833333332</v>
      </c>
    </row>
    <row r="113" spans="1:12" x14ac:dyDescent="0.25">
      <c r="A113" s="12">
        <v>2036</v>
      </c>
      <c r="B113" s="54">
        <f t="shared" ref="B113:L113" si="26">B69-B25</f>
        <v>0</v>
      </c>
      <c r="C113" s="54">
        <f t="shared" si="26"/>
        <v>-61334.59999999986</v>
      </c>
      <c r="D113" s="54">
        <f t="shared" si="26"/>
        <v>61334.599999999977</v>
      </c>
      <c r="E113" s="54">
        <f t="shared" si="26"/>
        <v>-30667.29999999993</v>
      </c>
      <c r="F113" s="54">
        <f t="shared" si="26"/>
        <v>-33572.699999999983</v>
      </c>
      <c r="G113" s="54">
        <f t="shared" si="26"/>
        <v>-23980.499999999985</v>
      </c>
      <c r="H113" s="54">
        <f t="shared" si="26"/>
        <v>26885.900000000009</v>
      </c>
      <c r="I113" s="54">
        <f t="shared" si="26"/>
        <v>135.44724166666657</v>
      </c>
      <c r="J113" s="54">
        <f t="shared" si="26"/>
        <v>148.27942499999995</v>
      </c>
      <c r="K113" s="54">
        <f t="shared" si="26"/>
        <v>105.91387499999996</v>
      </c>
      <c r="L113" s="160">
        <f t="shared" si="26"/>
        <v>-118.74605833333332</v>
      </c>
    </row>
    <row r="114" spans="1:12" x14ac:dyDescent="0.25">
      <c r="A114" s="12">
        <v>2037</v>
      </c>
      <c r="B114" s="54">
        <f t="shared" ref="B114:L114" si="27">B70-B26</f>
        <v>0</v>
      </c>
      <c r="C114" s="54">
        <f t="shared" si="27"/>
        <v>-61334.59999999986</v>
      </c>
      <c r="D114" s="54">
        <f t="shared" si="27"/>
        <v>61334.599999999977</v>
      </c>
      <c r="E114" s="54">
        <f t="shared" si="27"/>
        <v>-30667.29999999993</v>
      </c>
      <c r="F114" s="54">
        <f t="shared" si="27"/>
        <v>-33572.699999999983</v>
      </c>
      <c r="G114" s="54">
        <f t="shared" si="27"/>
        <v>-23980.499999999985</v>
      </c>
      <c r="H114" s="54">
        <f t="shared" si="27"/>
        <v>26885.900000000009</v>
      </c>
      <c r="I114" s="54">
        <f t="shared" si="27"/>
        <v>135.44724166666657</v>
      </c>
      <c r="J114" s="54">
        <f t="shared" si="27"/>
        <v>148.27942499999995</v>
      </c>
      <c r="K114" s="54">
        <f t="shared" si="27"/>
        <v>105.91387499999996</v>
      </c>
      <c r="L114" s="160">
        <f t="shared" si="27"/>
        <v>-118.74605833333332</v>
      </c>
    </row>
    <row r="115" spans="1:12" x14ac:dyDescent="0.25">
      <c r="A115" s="12">
        <v>2038</v>
      </c>
      <c r="B115" s="54">
        <f t="shared" ref="B115:L115" si="28">B71-B27</f>
        <v>0</v>
      </c>
      <c r="C115" s="54">
        <f t="shared" si="28"/>
        <v>-61334.59999999986</v>
      </c>
      <c r="D115" s="54">
        <f t="shared" si="28"/>
        <v>61334.599999999977</v>
      </c>
      <c r="E115" s="54">
        <f t="shared" si="28"/>
        <v>-30667.29999999993</v>
      </c>
      <c r="F115" s="54">
        <f t="shared" si="28"/>
        <v>-33572.699999999983</v>
      </c>
      <c r="G115" s="54">
        <f t="shared" si="28"/>
        <v>-23980.499999999985</v>
      </c>
      <c r="H115" s="54">
        <f t="shared" si="28"/>
        <v>26885.900000000009</v>
      </c>
      <c r="I115" s="54">
        <f t="shared" si="28"/>
        <v>135.44724166666657</v>
      </c>
      <c r="J115" s="54">
        <f t="shared" si="28"/>
        <v>148.27942499999995</v>
      </c>
      <c r="K115" s="54">
        <f t="shared" si="28"/>
        <v>105.91387499999996</v>
      </c>
      <c r="L115" s="160">
        <f t="shared" si="28"/>
        <v>-118.74605833333332</v>
      </c>
    </row>
    <row r="116" spans="1:12" x14ac:dyDescent="0.25">
      <c r="A116" s="12">
        <v>2039</v>
      </c>
      <c r="B116" s="54">
        <f t="shared" ref="B116:L116" si="29">B72-B28</f>
        <v>0</v>
      </c>
      <c r="C116" s="54">
        <f t="shared" si="29"/>
        <v>-61334.59999999986</v>
      </c>
      <c r="D116" s="54">
        <f t="shared" si="29"/>
        <v>61334.599999999977</v>
      </c>
      <c r="E116" s="54">
        <f t="shared" si="29"/>
        <v>-30667.29999999993</v>
      </c>
      <c r="F116" s="54">
        <f t="shared" si="29"/>
        <v>-33572.699999999983</v>
      </c>
      <c r="G116" s="54">
        <f t="shared" si="29"/>
        <v>-23980.499999999985</v>
      </c>
      <c r="H116" s="54">
        <f t="shared" si="29"/>
        <v>26885.900000000009</v>
      </c>
      <c r="I116" s="54">
        <f t="shared" si="29"/>
        <v>135.44724166666657</v>
      </c>
      <c r="J116" s="54">
        <f t="shared" si="29"/>
        <v>148.27942499999995</v>
      </c>
      <c r="K116" s="54">
        <f t="shared" si="29"/>
        <v>105.91387499999996</v>
      </c>
      <c r="L116" s="160">
        <f t="shared" si="29"/>
        <v>-118.74605833333332</v>
      </c>
    </row>
    <row r="117" spans="1:12" x14ac:dyDescent="0.25">
      <c r="A117" s="12">
        <v>2040</v>
      </c>
      <c r="B117" s="54">
        <f t="shared" ref="B117:L117" si="30">B73-B29</f>
        <v>0</v>
      </c>
      <c r="C117" s="54">
        <f t="shared" si="30"/>
        <v>-61334.59999999986</v>
      </c>
      <c r="D117" s="54">
        <f t="shared" si="30"/>
        <v>61334.599999999977</v>
      </c>
      <c r="E117" s="54">
        <f t="shared" si="30"/>
        <v>-30667.29999999993</v>
      </c>
      <c r="F117" s="54">
        <f t="shared" si="30"/>
        <v>-33572.699999999983</v>
      </c>
      <c r="G117" s="54">
        <f t="shared" si="30"/>
        <v>-23980.499999999985</v>
      </c>
      <c r="H117" s="54">
        <f t="shared" si="30"/>
        <v>26885.900000000009</v>
      </c>
      <c r="I117" s="54">
        <f t="shared" si="30"/>
        <v>135.44724166666657</v>
      </c>
      <c r="J117" s="54">
        <f t="shared" si="30"/>
        <v>148.27942499999995</v>
      </c>
      <c r="K117" s="54">
        <f t="shared" si="30"/>
        <v>105.91387499999996</v>
      </c>
      <c r="L117" s="160">
        <f t="shared" si="30"/>
        <v>-118.74605833333332</v>
      </c>
    </row>
    <row r="118" spans="1:12" x14ac:dyDescent="0.25">
      <c r="A118" s="12">
        <v>2041</v>
      </c>
      <c r="B118" s="54">
        <f t="shared" ref="B118:L118" si="31">B74-B30</f>
        <v>0</v>
      </c>
      <c r="C118" s="54">
        <f t="shared" si="31"/>
        <v>-61334.59999999986</v>
      </c>
      <c r="D118" s="54">
        <f t="shared" si="31"/>
        <v>61334.599999999977</v>
      </c>
      <c r="E118" s="54">
        <f t="shared" si="31"/>
        <v>-30667.29999999993</v>
      </c>
      <c r="F118" s="54">
        <f t="shared" si="31"/>
        <v>-33572.699999999983</v>
      </c>
      <c r="G118" s="54">
        <f t="shared" si="31"/>
        <v>-23980.499999999985</v>
      </c>
      <c r="H118" s="54">
        <f t="shared" si="31"/>
        <v>26885.900000000009</v>
      </c>
      <c r="I118" s="54">
        <f t="shared" si="31"/>
        <v>135.44724166666657</v>
      </c>
      <c r="J118" s="54">
        <f t="shared" si="31"/>
        <v>148.27942499999995</v>
      </c>
      <c r="K118" s="54">
        <f t="shared" si="31"/>
        <v>105.91387499999996</v>
      </c>
      <c r="L118" s="160">
        <f t="shared" si="31"/>
        <v>-118.74605833333332</v>
      </c>
    </row>
    <row r="119" spans="1:12" x14ac:dyDescent="0.25">
      <c r="A119" s="12">
        <v>2042</v>
      </c>
      <c r="B119" s="54">
        <f t="shared" ref="B119:L119" si="32">B75-B31</f>
        <v>0</v>
      </c>
      <c r="C119" s="54">
        <f t="shared" si="32"/>
        <v>-61334.59999999986</v>
      </c>
      <c r="D119" s="54">
        <f t="shared" si="32"/>
        <v>61334.599999999977</v>
      </c>
      <c r="E119" s="54">
        <f t="shared" si="32"/>
        <v>-30667.29999999993</v>
      </c>
      <c r="F119" s="54">
        <f t="shared" si="32"/>
        <v>-33572.699999999983</v>
      </c>
      <c r="G119" s="54">
        <f t="shared" si="32"/>
        <v>-23980.499999999985</v>
      </c>
      <c r="H119" s="54">
        <f t="shared" si="32"/>
        <v>26885.900000000009</v>
      </c>
      <c r="I119" s="54">
        <f t="shared" si="32"/>
        <v>135.44724166666657</v>
      </c>
      <c r="J119" s="54">
        <f t="shared" si="32"/>
        <v>148.27942499999995</v>
      </c>
      <c r="K119" s="54">
        <f t="shared" si="32"/>
        <v>105.91387499999996</v>
      </c>
      <c r="L119" s="160">
        <f t="shared" si="32"/>
        <v>-118.74605833333332</v>
      </c>
    </row>
    <row r="120" spans="1:12" x14ac:dyDescent="0.25">
      <c r="A120" s="12">
        <v>2043</v>
      </c>
      <c r="B120" s="54">
        <f t="shared" ref="B120:L120" si="33">B76-B32</f>
        <v>0</v>
      </c>
      <c r="C120" s="54">
        <f t="shared" si="33"/>
        <v>-61334.59999999986</v>
      </c>
      <c r="D120" s="54">
        <f t="shared" si="33"/>
        <v>61334.599999999977</v>
      </c>
      <c r="E120" s="54">
        <f t="shared" si="33"/>
        <v>-30667.29999999993</v>
      </c>
      <c r="F120" s="54">
        <f t="shared" si="33"/>
        <v>-33572.699999999983</v>
      </c>
      <c r="G120" s="54">
        <f t="shared" si="33"/>
        <v>-23980.499999999985</v>
      </c>
      <c r="H120" s="54">
        <f t="shared" si="33"/>
        <v>26885.900000000009</v>
      </c>
      <c r="I120" s="54">
        <f t="shared" si="33"/>
        <v>135.44724166666657</v>
      </c>
      <c r="J120" s="54">
        <f t="shared" si="33"/>
        <v>148.27942499999995</v>
      </c>
      <c r="K120" s="54">
        <f t="shared" si="33"/>
        <v>105.91387499999996</v>
      </c>
      <c r="L120" s="160">
        <f t="shared" si="33"/>
        <v>-118.74605833333332</v>
      </c>
    </row>
    <row r="121" spans="1:12" x14ac:dyDescent="0.25">
      <c r="A121" s="12">
        <v>2044</v>
      </c>
      <c r="B121" s="54">
        <f t="shared" ref="B121:L121" si="34">B77-B33</f>
        <v>0</v>
      </c>
      <c r="C121" s="54">
        <f t="shared" si="34"/>
        <v>-61334.59999999986</v>
      </c>
      <c r="D121" s="54">
        <f t="shared" si="34"/>
        <v>61334.599999999977</v>
      </c>
      <c r="E121" s="54">
        <f t="shared" si="34"/>
        <v>-30667.29999999993</v>
      </c>
      <c r="F121" s="54">
        <f t="shared" si="34"/>
        <v>-33572.699999999983</v>
      </c>
      <c r="G121" s="54">
        <f t="shared" si="34"/>
        <v>-23980.499999999985</v>
      </c>
      <c r="H121" s="54">
        <f t="shared" si="34"/>
        <v>26885.900000000009</v>
      </c>
      <c r="I121" s="54">
        <f t="shared" si="34"/>
        <v>135.44724166666657</v>
      </c>
      <c r="J121" s="54">
        <f t="shared" si="34"/>
        <v>148.27942499999995</v>
      </c>
      <c r="K121" s="54">
        <f t="shared" si="34"/>
        <v>105.91387499999996</v>
      </c>
      <c r="L121" s="160">
        <f t="shared" si="34"/>
        <v>-118.74605833333332</v>
      </c>
    </row>
    <row r="122" spans="1:12" x14ac:dyDescent="0.25">
      <c r="A122" s="12">
        <v>2045</v>
      </c>
      <c r="B122" s="54">
        <f t="shared" ref="B122:L122" si="35">B78-B34</f>
        <v>0</v>
      </c>
      <c r="C122" s="54">
        <f t="shared" si="35"/>
        <v>-61334.59999999986</v>
      </c>
      <c r="D122" s="54">
        <f t="shared" si="35"/>
        <v>61334.599999999977</v>
      </c>
      <c r="E122" s="54">
        <f t="shared" si="35"/>
        <v>-30667.29999999993</v>
      </c>
      <c r="F122" s="54">
        <f t="shared" si="35"/>
        <v>-33572.699999999983</v>
      </c>
      <c r="G122" s="54">
        <f t="shared" si="35"/>
        <v>-23980.499999999985</v>
      </c>
      <c r="H122" s="54">
        <f t="shared" si="35"/>
        <v>26885.900000000009</v>
      </c>
      <c r="I122" s="54">
        <f t="shared" si="35"/>
        <v>135.44724166666657</v>
      </c>
      <c r="J122" s="54">
        <f t="shared" si="35"/>
        <v>148.27942499999995</v>
      </c>
      <c r="K122" s="54">
        <f t="shared" si="35"/>
        <v>105.91387499999996</v>
      </c>
      <c r="L122" s="160">
        <f t="shared" si="35"/>
        <v>-118.74605833333332</v>
      </c>
    </row>
    <row r="123" spans="1:12" x14ac:dyDescent="0.25">
      <c r="A123" s="12">
        <v>2046</v>
      </c>
      <c r="B123" s="54">
        <f t="shared" ref="B123:L123" si="36">B79-B35</f>
        <v>0</v>
      </c>
      <c r="C123" s="54">
        <f t="shared" si="36"/>
        <v>-61334.59999999986</v>
      </c>
      <c r="D123" s="54">
        <f t="shared" si="36"/>
        <v>61334.599999999977</v>
      </c>
      <c r="E123" s="54">
        <f t="shared" si="36"/>
        <v>-30667.29999999993</v>
      </c>
      <c r="F123" s="54">
        <f t="shared" si="36"/>
        <v>-33572.699999999983</v>
      </c>
      <c r="G123" s="54">
        <f t="shared" si="36"/>
        <v>-23980.499999999985</v>
      </c>
      <c r="H123" s="54">
        <f t="shared" si="36"/>
        <v>26885.900000000009</v>
      </c>
      <c r="I123" s="54">
        <f t="shared" si="36"/>
        <v>135.44724166666657</v>
      </c>
      <c r="J123" s="54">
        <f t="shared" si="36"/>
        <v>148.27942499999995</v>
      </c>
      <c r="K123" s="54">
        <f t="shared" si="36"/>
        <v>105.91387499999996</v>
      </c>
      <c r="L123" s="160">
        <f t="shared" si="36"/>
        <v>-118.74605833333332</v>
      </c>
    </row>
    <row r="124" spans="1:12" x14ac:dyDescent="0.25">
      <c r="A124" s="12">
        <v>2047</v>
      </c>
      <c r="B124" s="54">
        <f t="shared" ref="B124:L124" si="37">B80-B36</f>
        <v>0</v>
      </c>
      <c r="C124" s="54">
        <f t="shared" si="37"/>
        <v>-61334.59999999986</v>
      </c>
      <c r="D124" s="54">
        <f t="shared" si="37"/>
        <v>61334.599999999977</v>
      </c>
      <c r="E124" s="54">
        <f t="shared" si="37"/>
        <v>-30667.29999999993</v>
      </c>
      <c r="F124" s="54">
        <f t="shared" si="37"/>
        <v>-33572.699999999983</v>
      </c>
      <c r="G124" s="54">
        <f t="shared" si="37"/>
        <v>-23980.499999999985</v>
      </c>
      <c r="H124" s="54">
        <f t="shared" si="37"/>
        <v>26885.900000000009</v>
      </c>
      <c r="I124" s="54">
        <f t="shared" si="37"/>
        <v>135.44724166666657</v>
      </c>
      <c r="J124" s="54">
        <f t="shared" si="37"/>
        <v>148.27942499999995</v>
      </c>
      <c r="K124" s="54">
        <f t="shared" si="37"/>
        <v>105.91387499999996</v>
      </c>
      <c r="L124" s="160">
        <f t="shared" si="37"/>
        <v>-118.74605833333332</v>
      </c>
    </row>
    <row r="125" spans="1:12" x14ac:dyDescent="0.25">
      <c r="A125" s="12">
        <v>2048</v>
      </c>
      <c r="B125" s="54">
        <f t="shared" ref="B125:L125" si="38">B81-B37</f>
        <v>0</v>
      </c>
      <c r="C125" s="54">
        <f t="shared" si="38"/>
        <v>-61334.59999999986</v>
      </c>
      <c r="D125" s="54">
        <f t="shared" si="38"/>
        <v>61334.599999999977</v>
      </c>
      <c r="E125" s="54">
        <f t="shared" si="38"/>
        <v>-30667.29999999993</v>
      </c>
      <c r="F125" s="54">
        <f t="shared" si="38"/>
        <v>-33572.699999999983</v>
      </c>
      <c r="G125" s="54">
        <f t="shared" si="38"/>
        <v>-23980.499999999985</v>
      </c>
      <c r="H125" s="54">
        <f t="shared" si="38"/>
        <v>26885.900000000009</v>
      </c>
      <c r="I125" s="54">
        <f t="shared" si="38"/>
        <v>135.44724166666657</v>
      </c>
      <c r="J125" s="54">
        <f t="shared" si="38"/>
        <v>148.27942499999995</v>
      </c>
      <c r="K125" s="54">
        <f t="shared" si="38"/>
        <v>105.91387499999996</v>
      </c>
      <c r="L125" s="160">
        <f t="shared" si="38"/>
        <v>-118.74605833333332</v>
      </c>
    </row>
    <row r="126" spans="1:12" x14ac:dyDescent="0.25">
      <c r="A126" s="12">
        <v>2049</v>
      </c>
      <c r="B126" s="54">
        <f t="shared" ref="B126:L126" si="39">B82-B38</f>
        <v>0</v>
      </c>
      <c r="C126" s="54">
        <f t="shared" si="39"/>
        <v>-61334.59999999986</v>
      </c>
      <c r="D126" s="54">
        <f t="shared" si="39"/>
        <v>61334.599999999977</v>
      </c>
      <c r="E126" s="54">
        <f t="shared" si="39"/>
        <v>-30667.29999999993</v>
      </c>
      <c r="F126" s="54">
        <f t="shared" si="39"/>
        <v>-33572.699999999983</v>
      </c>
      <c r="G126" s="54">
        <f t="shared" si="39"/>
        <v>-23980.499999999985</v>
      </c>
      <c r="H126" s="54">
        <f t="shared" si="39"/>
        <v>26885.900000000009</v>
      </c>
      <c r="I126" s="54">
        <f t="shared" si="39"/>
        <v>135.44724166666657</v>
      </c>
      <c r="J126" s="54">
        <f t="shared" si="39"/>
        <v>148.27942499999995</v>
      </c>
      <c r="K126" s="54">
        <f t="shared" si="39"/>
        <v>105.91387499999996</v>
      </c>
      <c r="L126" s="160">
        <f t="shared" si="39"/>
        <v>-118.74605833333332</v>
      </c>
    </row>
    <row r="127" spans="1:12" x14ac:dyDescent="0.25">
      <c r="A127" s="12">
        <v>2050</v>
      </c>
      <c r="B127" s="54">
        <f t="shared" ref="B127:L127" si="40">B83-B39</f>
        <v>0</v>
      </c>
      <c r="C127" s="54">
        <f t="shared" si="40"/>
        <v>-61334.59999999986</v>
      </c>
      <c r="D127" s="54">
        <f t="shared" si="40"/>
        <v>61334.599999999977</v>
      </c>
      <c r="E127" s="54">
        <f t="shared" si="40"/>
        <v>-30667.29999999993</v>
      </c>
      <c r="F127" s="54">
        <f t="shared" si="40"/>
        <v>-33572.699999999983</v>
      </c>
      <c r="G127" s="54">
        <f t="shared" si="40"/>
        <v>-23980.499999999985</v>
      </c>
      <c r="H127" s="54">
        <f t="shared" si="40"/>
        <v>26885.900000000009</v>
      </c>
      <c r="I127" s="54">
        <f t="shared" si="40"/>
        <v>135.44724166666657</v>
      </c>
      <c r="J127" s="54">
        <f t="shared" si="40"/>
        <v>148.27942499999995</v>
      </c>
      <c r="K127" s="54">
        <f t="shared" si="40"/>
        <v>105.91387499999996</v>
      </c>
      <c r="L127" s="160">
        <f t="shared" si="40"/>
        <v>-118.74605833333332</v>
      </c>
    </row>
    <row r="128" spans="1:12" x14ac:dyDescent="0.25">
      <c r="A128" s="390">
        <v>2051</v>
      </c>
      <c r="B128" s="391">
        <f t="shared" ref="B128:L128" si="41">B84-B40</f>
        <v>0</v>
      </c>
      <c r="C128" s="391">
        <f t="shared" si="41"/>
        <v>-61334.59999999986</v>
      </c>
      <c r="D128" s="391">
        <f t="shared" si="41"/>
        <v>61334.599999999977</v>
      </c>
      <c r="E128" s="391">
        <f t="shared" si="41"/>
        <v>-30667.29999999993</v>
      </c>
      <c r="F128" s="391">
        <f t="shared" si="41"/>
        <v>-33572.699999999983</v>
      </c>
      <c r="G128" s="391">
        <f t="shared" si="41"/>
        <v>-23980.499999999985</v>
      </c>
      <c r="H128" s="391">
        <f t="shared" si="41"/>
        <v>26885.900000000009</v>
      </c>
      <c r="I128" s="391">
        <f t="shared" si="41"/>
        <v>135.44724166666657</v>
      </c>
      <c r="J128" s="391">
        <f t="shared" si="41"/>
        <v>148.27942499999995</v>
      </c>
      <c r="K128" s="391">
        <f t="shared" si="41"/>
        <v>105.91387499999996</v>
      </c>
      <c r="L128" s="392">
        <f t="shared" si="41"/>
        <v>-118.74605833333332</v>
      </c>
    </row>
    <row r="129" spans="1:12" x14ac:dyDescent="0.25">
      <c r="A129" s="12" t="s">
        <v>2</v>
      </c>
      <c r="B129" s="63">
        <f t="shared" ref="B129:L129" si="42">SUM(B91:B128)</f>
        <v>0</v>
      </c>
      <c r="C129" s="63">
        <f t="shared" si="42"/>
        <v>-1502277.5999999966</v>
      </c>
      <c r="D129" s="63">
        <f t="shared" si="42"/>
        <v>1502277.6</v>
      </c>
      <c r="E129" s="63">
        <f t="shared" si="42"/>
        <v>-751138.7999999983</v>
      </c>
      <c r="F129" s="63">
        <f t="shared" si="42"/>
        <v>-822301.19999999914</v>
      </c>
      <c r="G129" s="63">
        <f t="shared" si="42"/>
        <v>-587357.99999999988</v>
      </c>
      <c r="H129" s="63">
        <f t="shared" si="42"/>
        <v>658520.40000000037</v>
      </c>
      <c r="I129" s="63">
        <f t="shared" si="42"/>
        <v>3317.5296999999987</v>
      </c>
      <c r="J129" s="63">
        <f t="shared" si="42"/>
        <v>3631.8302999999969</v>
      </c>
      <c r="K129" s="63">
        <f t="shared" si="42"/>
        <v>2594.1644999999999</v>
      </c>
      <c r="L129" s="62">
        <f t="shared" si="42"/>
        <v>-2908.465099999999</v>
      </c>
    </row>
    <row r="130" spans="1:12" ht="6" customHeight="1" thickBot="1" x14ac:dyDescent="0.3">
      <c r="A130" s="58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zoomScale="70" zoomScaleNormal="70" workbookViewId="0">
      <selection activeCell="E19" sqref="E19"/>
    </sheetView>
  </sheetViews>
  <sheetFormatPr defaultColWidth="9.140625" defaultRowHeight="15" x14ac:dyDescent="0.25"/>
  <cols>
    <col min="1" max="1" width="20.42578125" style="3" bestFit="1" customWidth="1"/>
    <col min="2" max="3" width="27.28515625" style="3" bestFit="1" customWidth="1"/>
    <col min="4" max="4" width="24.5703125" style="3" bestFit="1" customWidth="1"/>
    <col min="5" max="5" width="18.5703125" style="3" customWidth="1"/>
    <col min="6" max="6" width="21.140625" style="3" customWidth="1"/>
    <col min="7" max="7" width="22.7109375" style="3" customWidth="1"/>
    <col min="8" max="8" width="20" style="3" customWidth="1"/>
    <col min="9" max="9" width="22.5703125" style="3" customWidth="1"/>
    <col min="10" max="10" width="20.28515625" style="3" customWidth="1"/>
    <col min="11" max="11" width="20.85546875" style="3" customWidth="1"/>
    <col min="12" max="12" width="20" style="3" customWidth="1"/>
    <col min="13" max="13" width="20.5703125" style="3" customWidth="1"/>
    <col min="14" max="14" width="21.28515625" style="3" customWidth="1"/>
    <col min="15" max="15" width="19.140625" style="3" customWidth="1"/>
    <col min="16" max="16" width="18.42578125" style="3" customWidth="1"/>
    <col min="17" max="17" width="22.42578125" style="3" customWidth="1"/>
    <col min="18" max="18" width="22.28515625" style="3" customWidth="1"/>
    <col min="19" max="19" width="20.5703125" style="3" customWidth="1"/>
    <col min="20" max="20" width="21.7109375" style="3" bestFit="1" customWidth="1"/>
    <col min="21" max="21" width="19.5703125" style="3" bestFit="1" customWidth="1"/>
    <col min="22" max="22" width="12.85546875" style="3" customWidth="1"/>
    <col min="23" max="23" width="20.140625" style="3" customWidth="1"/>
    <col min="24" max="24" width="15.7109375" style="3" customWidth="1"/>
    <col min="25" max="25" width="13.140625" style="3" customWidth="1"/>
    <col min="26" max="26" width="14.140625" style="3" customWidth="1"/>
    <col min="27" max="27" width="15.85546875" style="3" bestFit="1" customWidth="1"/>
    <col min="28" max="28" width="14" style="3" customWidth="1"/>
    <col min="29" max="16384" width="9.140625" style="3"/>
  </cols>
  <sheetData>
    <row r="1" spans="1:18" ht="27" customHeight="1" thickBot="1" x14ac:dyDescent="0.4">
      <c r="A1" s="183" t="s">
        <v>105</v>
      </c>
    </row>
    <row r="2" spans="1:18" x14ac:dyDescent="0.25">
      <c r="A2" s="501" t="s">
        <v>86</v>
      </c>
      <c r="B2" s="495" t="s">
        <v>106</v>
      </c>
      <c r="C2" s="496"/>
      <c r="D2" s="496"/>
      <c r="E2" s="496"/>
      <c r="F2" s="496"/>
      <c r="G2" s="496"/>
      <c r="H2" s="497"/>
      <c r="I2" s="495" t="s">
        <v>107</v>
      </c>
      <c r="J2" s="496"/>
      <c r="K2" s="496"/>
      <c r="L2" s="496"/>
      <c r="M2" s="496"/>
      <c r="N2" s="496"/>
      <c r="O2" s="497"/>
      <c r="P2" s="498" t="s">
        <v>85</v>
      </c>
      <c r="Q2" s="499"/>
      <c r="R2" s="500"/>
    </row>
    <row r="3" spans="1:18" ht="48.75" customHeight="1" x14ac:dyDescent="0.25">
      <c r="A3" s="502"/>
      <c r="B3" s="161" t="s">
        <v>165</v>
      </c>
      <c r="C3" s="15" t="s">
        <v>162</v>
      </c>
      <c r="D3" s="15" t="s">
        <v>163</v>
      </c>
      <c r="E3" s="162" t="s">
        <v>164</v>
      </c>
      <c r="F3" s="15" t="s">
        <v>161</v>
      </c>
      <c r="G3" s="163" t="s">
        <v>258</v>
      </c>
      <c r="H3" s="164" t="s">
        <v>259</v>
      </c>
      <c r="I3" s="161" t="s">
        <v>260</v>
      </c>
      <c r="J3" s="15" t="s">
        <v>166</v>
      </c>
      <c r="K3" s="15" t="s">
        <v>167</v>
      </c>
      <c r="L3" s="162" t="s">
        <v>168</v>
      </c>
      <c r="M3" s="162" t="s">
        <v>262</v>
      </c>
      <c r="N3" s="162" t="s">
        <v>261</v>
      </c>
      <c r="O3" s="164" t="s">
        <v>200</v>
      </c>
      <c r="P3" s="161" t="s">
        <v>83</v>
      </c>
      <c r="Q3" s="162" t="s">
        <v>132</v>
      </c>
      <c r="R3" s="165" t="s">
        <v>84</v>
      </c>
    </row>
    <row r="4" spans="1:18" x14ac:dyDescent="0.25">
      <c r="A4" s="5">
        <v>2014</v>
      </c>
      <c r="B4" s="184">
        <f>'Trip Calculation'!E3</f>
        <v>0</v>
      </c>
      <c r="C4" s="185">
        <f>'Trip Calculation'!F3*'Other Factors'!$B$15</f>
        <v>0</v>
      </c>
      <c r="D4" s="185">
        <f>'Trip Calculation'!G3*'Other Factors'!$C$15</f>
        <v>0</v>
      </c>
      <c r="E4" s="186">
        <f>'Trip Calculation'!H3*'Other Factors'!$D$15</f>
        <v>0</v>
      </c>
      <c r="F4" s="187">
        <f>C4+D4+E4</f>
        <v>0</v>
      </c>
      <c r="G4" s="188">
        <f>F4*'Other Factors'!$B$8</f>
        <v>0</v>
      </c>
      <c r="H4" s="189">
        <f>(('Trip Calculation'!F3*'Other Factors'!$B$17)+('Trip Calculation'!G3*'Other Factors'!$C$17)+('Trip Calculation'!H3*'Other Factors'!$D$17))/60</f>
        <v>0</v>
      </c>
      <c r="I4" s="190">
        <f>'Trip Calculation'!E47</f>
        <v>0</v>
      </c>
      <c r="J4" s="188">
        <f>'Trip Calculation'!F47*'Other Factors'!$E$15</f>
        <v>0</v>
      </c>
      <c r="K4" s="188">
        <f>'Trip Calculation'!F47*'Other Factors'!$F$15</f>
        <v>0</v>
      </c>
      <c r="L4" s="191">
        <f>'Trip Calculation'!H47*'Other Factors'!$G$15</f>
        <v>0</v>
      </c>
      <c r="M4" s="192">
        <f t="shared" ref="M4" si="0">J4+K4+L4</f>
        <v>0</v>
      </c>
      <c r="N4" s="188">
        <f>M4*'Other Factors'!$B$8</f>
        <v>0</v>
      </c>
      <c r="O4" s="193">
        <f>(('Trip Calculation'!F47*'Other Factors'!$E$17)+('Trip Calculation'!G47*'Other Factors'!$F$17)+('Trip Calculation'!H47*'Other Factors'!$G$17))/60</f>
        <v>0</v>
      </c>
      <c r="P4" s="184">
        <f t="shared" ref="P4:R5" si="1">M4-F4</f>
        <v>0</v>
      </c>
      <c r="Q4" s="194">
        <f t="shared" si="1"/>
        <v>0</v>
      </c>
      <c r="R4" s="195">
        <f t="shared" si="1"/>
        <v>0</v>
      </c>
    </row>
    <row r="5" spans="1:18" x14ac:dyDescent="0.25">
      <c r="A5" s="5">
        <v>2015</v>
      </c>
      <c r="B5" s="184">
        <f>'Trip Calculation'!E4</f>
        <v>0</v>
      </c>
      <c r="C5" s="185">
        <f>'Trip Calculation'!F4*'Other Factors'!$B$15</f>
        <v>0</v>
      </c>
      <c r="D5" s="185">
        <f>'Trip Calculation'!G4*'Other Factors'!$C$15</f>
        <v>0</v>
      </c>
      <c r="E5" s="186">
        <f>'Trip Calculation'!H4*'Other Factors'!$D$15</f>
        <v>0</v>
      </c>
      <c r="F5" s="187">
        <f>C5+D5+E5</f>
        <v>0</v>
      </c>
      <c r="G5" s="194">
        <f>F5*'Other Factors'!$B$8</f>
        <v>0</v>
      </c>
      <c r="H5" s="189">
        <f>(('Trip Calculation'!F4*'Other Factors'!$B$17)+('Trip Calculation'!G4*'Other Factors'!$C$17)+('Trip Calculation'!H4*'Other Factors'!$D$17))/60</f>
        <v>0</v>
      </c>
      <c r="I5" s="190">
        <f>'Trip Calculation'!E48</f>
        <v>0</v>
      </c>
      <c r="J5" s="194">
        <f>'Trip Calculation'!F48*'Other Factors'!$E$15</f>
        <v>0</v>
      </c>
      <c r="K5" s="194">
        <f>'Trip Calculation'!F48*'Other Factors'!$F$15</f>
        <v>0</v>
      </c>
      <c r="L5" s="191">
        <f>'Trip Calculation'!H48*'Other Factors'!$G$15</f>
        <v>0</v>
      </c>
      <c r="M5" s="192">
        <f t="shared" ref="M5:M37" si="2">J5+K5+L5</f>
        <v>0</v>
      </c>
      <c r="N5" s="194">
        <f>M5*'Other Factors'!$B$8</f>
        <v>0</v>
      </c>
      <c r="O5" s="193">
        <f>(('Trip Calculation'!F48*'Other Factors'!$E$17)+('Trip Calculation'!G48*'Other Factors'!$F$17)+('Trip Calculation'!H48*'Other Factors'!$G$17))/60</f>
        <v>0</v>
      </c>
      <c r="P5" s="184">
        <f t="shared" si="1"/>
        <v>0</v>
      </c>
      <c r="Q5" s="194">
        <f t="shared" si="1"/>
        <v>0</v>
      </c>
      <c r="R5" s="195">
        <f t="shared" si="1"/>
        <v>0</v>
      </c>
    </row>
    <row r="6" spans="1:18" x14ac:dyDescent="0.25">
      <c r="A6" s="5">
        <v>2016</v>
      </c>
      <c r="B6" s="184">
        <f>'Trip Calculation'!E5</f>
        <v>0</v>
      </c>
      <c r="C6" s="185">
        <f>'Trip Calculation'!F5*'Other Factors'!$B$15</f>
        <v>0</v>
      </c>
      <c r="D6" s="185">
        <f>'Trip Calculation'!G5*'Other Factors'!$C$15</f>
        <v>0</v>
      </c>
      <c r="E6" s="186">
        <f>'Trip Calculation'!H5*'Other Factors'!$D$15</f>
        <v>0</v>
      </c>
      <c r="F6" s="187">
        <f t="shared" ref="F6:F37" si="3">C6+D6+E6</f>
        <v>0</v>
      </c>
      <c r="G6" s="194">
        <f>F6*'Other Factors'!$B$8</f>
        <v>0</v>
      </c>
      <c r="H6" s="189">
        <f>(('Trip Calculation'!F5*'Other Factors'!$B$17)+('Trip Calculation'!G5*'Other Factors'!$C$17)+('Trip Calculation'!H5*'Other Factors'!$D$17))/60</f>
        <v>0</v>
      </c>
      <c r="I6" s="190">
        <f>'Trip Calculation'!E49</f>
        <v>0</v>
      </c>
      <c r="J6" s="194">
        <f>'Trip Calculation'!F49*'Other Factors'!$E$15</f>
        <v>0</v>
      </c>
      <c r="K6" s="194">
        <f>'Trip Calculation'!F49*'Other Factors'!$F$15</f>
        <v>0</v>
      </c>
      <c r="L6" s="191">
        <f>'Trip Calculation'!H49*'Other Factors'!$G$15</f>
        <v>0</v>
      </c>
      <c r="M6" s="192">
        <f t="shared" si="2"/>
        <v>0</v>
      </c>
      <c r="N6" s="194">
        <f>M6*'Other Factors'!$B$8</f>
        <v>0</v>
      </c>
      <c r="O6" s="193">
        <f>(('Trip Calculation'!F49*'Other Factors'!$E$17)+('Trip Calculation'!G49*'Other Factors'!$F$17)+('Trip Calculation'!H49*'Other Factors'!$G$17))/60</f>
        <v>0</v>
      </c>
      <c r="P6" s="184">
        <f t="shared" ref="P6:P37" si="4">M6-F6</f>
        <v>0</v>
      </c>
      <c r="Q6" s="194">
        <f t="shared" ref="Q6:Q37" si="5">N6-G6</f>
        <v>0</v>
      </c>
      <c r="R6" s="195">
        <f t="shared" ref="R6:R37" si="6">O6-H6</f>
        <v>0</v>
      </c>
    </row>
    <row r="7" spans="1:18" x14ac:dyDescent="0.25">
      <c r="A7" s="5">
        <v>2017</v>
      </c>
      <c r="B7" s="184">
        <f>'Trip Calculation'!E6</f>
        <v>0</v>
      </c>
      <c r="C7" s="185">
        <f>'Trip Calculation'!F6*'Other Factors'!$B$15</f>
        <v>0</v>
      </c>
      <c r="D7" s="185">
        <f>'Trip Calculation'!G6*'Other Factors'!$C$15</f>
        <v>0</v>
      </c>
      <c r="E7" s="186">
        <f>'Trip Calculation'!H6*'Other Factors'!$D$15</f>
        <v>0</v>
      </c>
      <c r="F7" s="187">
        <f t="shared" si="3"/>
        <v>0</v>
      </c>
      <c r="G7" s="194">
        <f>F7*'Other Factors'!$B$8</f>
        <v>0</v>
      </c>
      <c r="H7" s="189">
        <f>(('Trip Calculation'!F6*'Other Factors'!$B$17)+('Trip Calculation'!G6*'Other Factors'!$C$17)+('Trip Calculation'!H6*'Other Factors'!$D$17))/60</f>
        <v>0</v>
      </c>
      <c r="I7" s="190">
        <f>'Trip Calculation'!E50</f>
        <v>0</v>
      </c>
      <c r="J7" s="194">
        <f>'Trip Calculation'!F50*'Other Factors'!$E$15</f>
        <v>0</v>
      </c>
      <c r="K7" s="194">
        <f>'Trip Calculation'!F50*'Other Factors'!$F$15</f>
        <v>0</v>
      </c>
      <c r="L7" s="191">
        <f>'Trip Calculation'!H50*'Other Factors'!$G$15</f>
        <v>0</v>
      </c>
      <c r="M7" s="192">
        <f t="shared" si="2"/>
        <v>0</v>
      </c>
      <c r="N7" s="194">
        <f>M7*'Other Factors'!$B$8</f>
        <v>0</v>
      </c>
      <c r="O7" s="193">
        <f>(('Trip Calculation'!F50*'Other Factors'!$E$17)+('Trip Calculation'!G50*'Other Factors'!$F$17)+('Trip Calculation'!H50*'Other Factors'!$G$17))/60</f>
        <v>0</v>
      </c>
      <c r="P7" s="184">
        <f t="shared" si="4"/>
        <v>0</v>
      </c>
      <c r="Q7" s="194">
        <f t="shared" si="5"/>
        <v>0</v>
      </c>
      <c r="R7" s="195">
        <f t="shared" si="6"/>
        <v>0</v>
      </c>
    </row>
    <row r="8" spans="1:18" x14ac:dyDescent="0.25">
      <c r="A8" s="5">
        <v>2018</v>
      </c>
      <c r="B8" s="184">
        <f>'Trip Calculation'!E7</f>
        <v>0</v>
      </c>
      <c r="C8" s="185">
        <f>'Trip Calculation'!F7*'Other Factors'!$B$15</f>
        <v>0</v>
      </c>
      <c r="D8" s="185">
        <f>'Trip Calculation'!G7*'Other Factors'!$C$15</f>
        <v>0</v>
      </c>
      <c r="E8" s="186">
        <f>'Trip Calculation'!H7*'Other Factors'!$D$15</f>
        <v>0</v>
      </c>
      <c r="F8" s="187">
        <f t="shared" si="3"/>
        <v>0</v>
      </c>
      <c r="G8" s="194">
        <f>F8*'Other Factors'!$B$8</f>
        <v>0</v>
      </c>
      <c r="H8" s="189">
        <f>(('Trip Calculation'!F7*'Other Factors'!$B$17)+('Trip Calculation'!G7*'Other Factors'!$C$17)+('Trip Calculation'!H7*'Other Factors'!$D$17))/60</f>
        <v>0</v>
      </c>
      <c r="I8" s="190">
        <f>'Trip Calculation'!E51</f>
        <v>0</v>
      </c>
      <c r="J8" s="194">
        <f>'Trip Calculation'!F51*'Other Factors'!$E$15</f>
        <v>0</v>
      </c>
      <c r="K8" s="194">
        <f>'Trip Calculation'!F51*'Other Factors'!$F$15</f>
        <v>0</v>
      </c>
      <c r="L8" s="191">
        <f>'Trip Calculation'!H51*'Other Factors'!$G$15</f>
        <v>0</v>
      </c>
      <c r="M8" s="192">
        <f t="shared" si="2"/>
        <v>0</v>
      </c>
      <c r="N8" s="194">
        <f>M8*'Other Factors'!$B$8</f>
        <v>0</v>
      </c>
      <c r="O8" s="193">
        <f>(('Trip Calculation'!F51*'Other Factors'!$E$17)+('Trip Calculation'!G51*'Other Factors'!$F$17)+('Trip Calculation'!H51*'Other Factors'!$G$17))/60</f>
        <v>0</v>
      </c>
      <c r="P8" s="184">
        <f t="shared" si="4"/>
        <v>0</v>
      </c>
      <c r="Q8" s="194">
        <f t="shared" si="5"/>
        <v>0</v>
      </c>
      <c r="R8" s="195">
        <f t="shared" si="6"/>
        <v>0</v>
      </c>
    </row>
    <row r="9" spans="1:18" x14ac:dyDescent="0.25">
      <c r="A9" s="5">
        <v>2019</v>
      </c>
      <c r="B9" s="184">
        <f>'Trip Calculation'!E8</f>
        <v>0</v>
      </c>
      <c r="C9" s="185">
        <f>'Trip Calculation'!F8*'Other Factors'!$B$15</f>
        <v>0</v>
      </c>
      <c r="D9" s="185">
        <f>'Trip Calculation'!G8*'Other Factors'!$C$15</f>
        <v>0</v>
      </c>
      <c r="E9" s="186">
        <f>'Trip Calculation'!H8*'Other Factors'!$D$15</f>
        <v>0</v>
      </c>
      <c r="F9" s="187">
        <f t="shared" si="3"/>
        <v>0</v>
      </c>
      <c r="G9" s="194">
        <f>F9*'Other Factors'!$B$8</f>
        <v>0</v>
      </c>
      <c r="H9" s="189">
        <f>(('Trip Calculation'!F8*'Other Factors'!$B$17)+('Trip Calculation'!G8*'Other Factors'!$C$17)+('Trip Calculation'!H8*'Other Factors'!$D$17))/60</f>
        <v>0</v>
      </c>
      <c r="I9" s="190">
        <f>'Trip Calculation'!E52</f>
        <v>0</v>
      </c>
      <c r="J9" s="194">
        <f>'Trip Calculation'!F52*'Other Factors'!$E$15</f>
        <v>0</v>
      </c>
      <c r="K9" s="194">
        <f>'Trip Calculation'!F52*'Other Factors'!$F$15</f>
        <v>0</v>
      </c>
      <c r="L9" s="191">
        <f>'Trip Calculation'!H52*'Other Factors'!$G$15</f>
        <v>0</v>
      </c>
      <c r="M9" s="192">
        <f t="shared" si="2"/>
        <v>0</v>
      </c>
      <c r="N9" s="194">
        <f>M9*'Other Factors'!$B$8</f>
        <v>0</v>
      </c>
      <c r="O9" s="193">
        <f>(('Trip Calculation'!F52*'Other Factors'!$E$17)+('Trip Calculation'!G52*'Other Factors'!$F$17)+('Trip Calculation'!H52*'Other Factors'!$G$17))/60</f>
        <v>0</v>
      </c>
      <c r="P9" s="184">
        <f t="shared" si="4"/>
        <v>0</v>
      </c>
      <c r="Q9" s="194">
        <f t="shared" si="5"/>
        <v>0</v>
      </c>
      <c r="R9" s="195">
        <f t="shared" si="6"/>
        <v>0</v>
      </c>
    </row>
    <row r="10" spans="1:18" x14ac:dyDescent="0.25">
      <c r="A10" s="5">
        <v>2020</v>
      </c>
      <c r="B10" s="184">
        <f>'Trip Calculation'!E9</f>
        <v>0</v>
      </c>
      <c r="C10" s="185">
        <f>'Trip Calculation'!F9*'Other Factors'!$B$15</f>
        <v>0</v>
      </c>
      <c r="D10" s="185">
        <f>'Trip Calculation'!G9*'Other Factors'!$C$15</f>
        <v>0</v>
      </c>
      <c r="E10" s="186">
        <f>'Trip Calculation'!H9*'Other Factors'!$D$15</f>
        <v>0</v>
      </c>
      <c r="F10" s="187">
        <f t="shared" si="3"/>
        <v>0</v>
      </c>
      <c r="G10" s="194">
        <f>F10*'Other Factors'!$B$8</f>
        <v>0</v>
      </c>
      <c r="H10" s="189">
        <f>(('Trip Calculation'!F9*'Other Factors'!$B$17)+('Trip Calculation'!G9*'Other Factors'!$C$17)+('Trip Calculation'!H9*'Other Factors'!$D$17))/60</f>
        <v>0</v>
      </c>
      <c r="I10" s="190">
        <f>'Trip Calculation'!E53</f>
        <v>0</v>
      </c>
      <c r="J10" s="194">
        <f>'Trip Calculation'!F53*'Other Factors'!$E$15</f>
        <v>0</v>
      </c>
      <c r="K10" s="194">
        <f>'Trip Calculation'!F53*'Other Factors'!$F$15</f>
        <v>0</v>
      </c>
      <c r="L10" s="191">
        <f>'Trip Calculation'!H53*'Other Factors'!$G$15</f>
        <v>0</v>
      </c>
      <c r="M10" s="192">
        <f t="shared" si="2"/>
        <v>0</v>
      </c>
      <c r="N10" s="194">
        <f>M10*'Other Factors'!$B$8</f>
        <v>0</v>
      </c>
      <c r="O10" s="193">
        <f>(('Trip Calculation'!F53*'Other Factors'!$E$17)+('Trip Calculation'!G53*'Other Factors'!$F$17)+('Trip Calculation'!H53*'Other Factors'!$G$17))/60</f>
        <v>0</v>
      </c>
      <c r="P10" s="184">
        <f t="shared" si="4"/>
        <v>0</v>
      </c>
      <c r="Q10" s="194">
        <f t="shared" si="5"/>
        <v>0</v>
      </c>
      <c r="R10" s="195">
        <f t="shared" si="6"/>
        <v>0</v>
      </c>
    </row>
    <row r="11" spans="1:18" x14ac:dyDescent="0.25">
      <c r="A11" s="5">
        <v>2021</v>
      </c>
      <c r="B11" s="184">
        <f>'Trip Calculation'!E10</f>
        <v>0</v>
      </c>
      <c r="C11" s="185">
        <f>'Trip Calculation'!F10*'Other Factors'!$B$15</f>
        <v>0</v>
      </c>
      <c r="D11" s="185">
        <f>'Trip Calculation'!G10*'Other Factors'!$C$15</f>
        <v>0</v>
      </c>
      <c r="E11" s="186">
        <f>'Trip Calculation'!H10*'Other Factors'!$D$15</f>
        <v>0</v>
      </c>
      <c r="F11" s="187">
        <f t="shared" si="3"/>
        <v>0</v>
      </c>
      <c r="G11" s="194">
        <f>F11*'Other Factors'!$B$8</f>
        <v>0</v>
      </c>
      <c r="H11" s="189">
        <f>(('Trip Calculation'!F10*'Other Factors'!$B$17)+('Trip Calculation'!G10*'Other Factors'!$C$17)+('Trip Calculation'!H10*'Other Factors'!$D$17))/60</f>
        <v>0</v>
      </c>
      <c r="I11" s="190">
        <f>'Trip Calculation'!E54</f>
        <v>0</v>
      </c>
      <c r="J11" s="194">
        <f>'Trip Calculation'!F54*'Other Factors'!$E$15</f>
        <v>0</v>
      </c>
      <c r="K11" s="194">
        <f>'Trip Calculation'!F54*'Other Factors'!$F$15</f>
        <v>0</v>
      </c>
      <c r="L11" s="191">
        <f>'Trip Calculation'!H54*'Other Factors'!$G$15</f>
        <v>0</v>
      </c>
      <c r="M11" s="192">
        <f t="shared" si="2"/>
        <v>0</v>
      </c>
      <c r="N11" s="194">
        <f>M11*'Other Factors'!$B$8</f>
        <v>0</v>
      </c>
      <c r="O11" s="193">
        <f>(('Trip Calculation'!F54*'Other Factors'!$E$17)+('Trip Calculation'!G54*'Other Factors'!$F$17)+('Trip Calculation'!H54*'Other Factors'!$G$17))/60</f>
        <v>0</v>
      </c>
      <c r="P11" s="184">
        <f t="shared" si="4"/>
        <v>0</v>
      </c>
      <c r="Q11" s="194">
        <f t="shared" si="5"/>
        <v>0</v>
      </c>
      <c r="R11" s="195">
        <f t="shared" si="6"/>
        <v>0</v>
      </c>
    </row>
    <row r="12" spans="1:18" x14ac:dyDescent="0.25">
      <c r="A12" s="5">
        <v>2022</v>
      </c>
      <c r="B12" s="184">
        <f>'Trip Calculation'!E11</f>
        <v>21899.999999999996</v>
      </c>
      <c r="C12" s="185">
        <f>'Trip Calculation'!F11*'Other Factors'!$B$15</f>
        <v>613199.99999999988</v>
      </c>
      <c r="D12" s="185">
        <f>'Trip Calculation'!G11*'Other Factors'!$C$15</f>
        <v>1231875</v>
      </c>
      <c r="E12" s="186">
        <f>'Trip Calculation'!H11*'Other Factors'!$D$15</f>
        <v>706275</v>
      </c>
      <c r="F12" s="187">
        <f t="shared" si="3"/>
        <v>2551350</v>
      </c>
      <c r="G12" s="194">
        <f>F12*'Other Factors'!$B$8</f>
        <v>96951300</v>
      </c>
      <c r="H12" s="189">
        <f>(('Trip Calculation'!F11*'Other Factors'!$B$17)+('Trip Calculation'!G11*'Other Factors'!$C$17)+('Trip Calculation'!H11*'Other Factors'!$D$17))/60</f>
        <v>39641.230555555558</v>
      </c>
      <c r="I12" s="190">
        <f>'Trip Calculation'!E55</f>
        <v>19799.5</v>
      </c>
      <c r="J12" s="194">
        <f>'Trip Calculation'!F55*'Other Factors'!$E$15</f>
        <v>1583205.7500000002</v>
      </c>
      <c r="K12" s="194">
        <f>'Trip Calculation'!F55*'Other Factors'!$F$15</f>
        <v>4184093.5500000003</v>
      </c>
      <c r="L12" s="191">
        <f>'Trip Calculation'!H55*'Other Factors'!$G$15</f>
        <v>844537.40000000014</v>
      </c>
      <c r="M12" s="192">
        <f t="shared" si="2"/>
        <v>6611836.7000000011</v>
      </c>
      <c r="N12" s="194">
        <f>M12*'Other Factors'!$B$8</f>
        <v>251249794.60000005</v>
      </c>
      <c r="O12" s="193">
        <f>(('Trip Calculation'!F55*'Other Factors'!$E$17)+('Trip Calculation'!G55*'Other Factors'!$F$17)+('Trip Calculation'!H55*'Other Factors'!$G$17))/60</f>
        <v>59030.73370833334</v>
      </c>
      <c r="P12" s="184">
        <f t="shared" si="4"/>
        <v>4060486.7000000011</v>
      </c>
      <c r="Q12" s="194">
        <f t="shared" si="5"/>
        <v>154298494.60000005</v>
      </c>
      <c r="R12" s="195">
        <f t="shared" si="6"/>
        <v>19389.503152777783</v>
      </c>
    </row>
    <row r="13" spans="1:18" x14ac:dyDescent="0.25">
      <c r="A13" s="5">
        <v>2023</v>
      </c>
      <c r="B13" s="184">
        <f>'Trip Calculation'!E12</f>
        <v>43799.999999999993</v>
      </c>
      <c r="C13" s="185">
        <f>'Trip Calculation'!F12*'Other Factors'!$B$15</f>
        <v>1226399.9999999998</v>
      </c>
      <c r="D13" s="185">
        <f>'Trip Calculation'!G12*'Other Factors'!$C$15</f>
        <v>2463750</v>
      </c>
      <c r="E13" s="186">
        <f>'Trip Calculation'!H12*'Other Factors'!$D$15</f>
        <v>1412550</v>
      </c>
      <c r="F13" s="187">
        <f t="shared" si="3"/>
        <v>5102700</v>
      </c>
      <c r="G13" s="194">
        <f>F13*'Other Factors'!$B$8</f>
        <v>193902600</v>
      </c>
      <c r="H13" s="189">
        <f>(('Trip Calculation'!F12*'Other Factors'!$B$17)+('Trip Calculation'!G12*'Other Factors'!$C$17)+('Trip Calculation'!H12*'Other Factors'!$D$17))/60</f>
        <v>79282.461111111115</v>
      </c>
      <c r="I13" s="190">
        <f>'Trip Calculation'!E56</f>
        <v>39599</v>
      </c>
      <c r="J13" s="194">
        <f>'Trip Calculation'!F56*'Other Factors'!$E$15</f>
        <v>3166411.5000000005</v>
      </c>
      <c r="K13" s="194">
        <f>'Trip Calculation'!F56*'Other Factors'!$F$15</f>
        <v>8368187.1000000006</v>
      </c>
      <c r="L13" s="191">
        <f>'Trip Calculation'!H56*'Other Factors'!$G$15</f>
        <v>1689074.8000000003</v>
      </c>
      <c r="M13" s="192">
        <f t="shared" si="2"/>
        <v>13223673.400000002</v>
      </c>
      <c r="N13" s="194">
        <f>M13*'Other Factors'!$B$8</f>
        <v>502499589.20000011</v>
      </c>
      <c r="O13" s="193">
        <f>(('Trip Calculation'!F56*'Other Factors'!$E$17)+('Trip Calculation'!G56*'Other Factors'!$F$17)+('Trip Calculation'!H56*'Other Factors'!$G$17))/60</f>
        <v>118061.46741666668</v>
      </c>
      <c r="P13" s="184">
        <f t="shared" si="4"/>
        <v>8120973.4000000022</v>
      </c>
      <c r="Q13" s="194">
        <f t="shared" si="5"/>
        <v>308596989.20000011</v>
      </c>
      <c r="R13" s="195">
        <f t="shared" si="6"/>
        <v>38779.006305555566</v>
      </c>
    </row>
    <row r="14" spans="1:18" x14ac:dyDescent="0.25">
      <c r="A14" s="5">
        <v>2024</v>
      </c>
      <c r="B14" s="184">
        <f>'Trip Calculation'!E13</f>
        <v>65699.999999999985</v>
      </c>
      <c r="C14" s="185">
        <f>'Trip Calculation'!F13*'Other Factors'!$B$15</f>
        <v>1839599.9999999998</v>
      </c>
      <c r="D14" s="185">
        <f>'Trip Calculation'!G13*'Other Factors'!$C$15</f>
        <v>3695625</v>
      </c>
      <c r="E14" s="186">
        <f>'Trip Calculation'!H13*'Other Factors'!$D$15</f>
        <v>2118825.0000000005</v>
      </c>
      <c r="F14" s="187">
        <f t="shared" si="3"/>
        <v>7654050</v>
      </c>
      <c r="G14" s="194">
        <f>F14*'Other Factors'!$B$8</f>
        <v>290853900</v>
      </c>
      <c r="H14" s="189">
        <f>(('Trip Calculation'!F13*'Other Factors'!$B$17)+('Trip Calculation'!G13*'Other Factors'!$C$17)+('Trip Calculation'!H13*'Other Factors'!$D$17))/60</f>
        <v>118923.69166666667</v>
      </c>
      <c r="I14" s="190">
        <f>'Trip Calculation'!E57</f>
        <v>59398.5</v>
      </c>
      <c r="J14" s="194">
        <f>'Trip Calculation'!F57*'Other Factors'!$E$15</f>
        <v>4749617.2500000009</v>
      </c>
      <c r="K14" s="194">
        <f>'Trip Calculation'!F57*'Other Factors'!$F$15</f>
        <v>12552280.65</v>
      </c>
      <c r="L14" s="191">
        <f>'Trip Calculation'!H57*'Other Factors'!$G$15</f>
        <v>2533612.2000000002</v>
      </c>
      <c r="M14" s="192">
        <f t="shared" si="2"/>
        <v>19835510.100000001</v>
      </c>
      <c r="N14" s="194">
        <f>M14*'Other Factors'!$B$8</f>
        <v>753749383.80000007</v>
      </c>
      <c r="O14" s="193">
        <f>(('Trip Calculation'!F57*'Other Factors'!$E$17)+('Trip Calculation'!G57*'Other Factors'!$F$17)+('Trip Calculation'!H57*'Other Factors'!$G$17))/60</f>
        <v>177092.20112500002</v>
      </c>
      <c r="P14" s="184">
        <f t="shared" si="4"/>
        <v>12181460.100000001</v>
      </c>
      <c r="Q14" s="194">
        <f t="shared" si="5"/>
        <v>462895483.80000007</v>
      </c>
      <c r="R14" s="195">
        <f t="shared" si="6"/>
        <v>58168.509458333356</v>
      </c>
    </row>
    <row r="15" spans="1:18" x14ac:dyDescent="0.25">
      <c r="A15" s="5">
        <v>2025</v>
      </c>
      <c r="B15" s="184">
        <f>'Trip Calculation'!E14</f>
        <v>87599.999999999985</v>
      </c>
      <c r="C15" s="185">
        <f>'Trip Calculation'!F14*'Other Factors'!$B$15</f>
        <v>2452799.9999999995</v>
      </c>
      <c r="D15" s="185">
        <f>'Trip Calculation'!G14*'Other Factors'!$C$15</f>
        <v>4927500</v>
      </c>
      <c r="E15" s="186">
        <f>'Trip Calculation'!H14*'Other Factors'!$D$15</f>
        <v>2825100</v>
      </c>
      <c r="F15" s="187">
        <f t="shared" si="3"/>
        <v>10205400</v>
      </c>
      <c r="G15" s="194">
        <f>F15*'Other Factors'!$B$8</f>
        <v>387805200</v>
      </c>
      <c r="H15" s="189">
        <f>(('Trip Calculation'!F14*'Other Factors'!$B$17)+('Trip Calculation'!G14*'Other Factors'!$C$17)+('Trip Calculation'!H14*'Other Factors'!$D$17))/60</f>
        <v>158564.92222222223</v>
      </c>
      <c r="I15" s="190">
        <f>'Trip Calculation'!E58</f>
        <v>79198</v>
      </c>
      <c r="J15" s="194">
        <f>'Trip Calculation'!F58*'Other Factors'!$E$15</f>
        <v>6332823.0000000009</v>
      </c>
      <c r="K15" s="194">
        <f>'Trip Calculation'!F58*'Other Factors'!$F$15</f>
        <v>16736374.200000001</v>
      </c>
      <c r="L15" s="191">
        <f>'Trip Calculation'!H58*'Other Factors'!$G$15</f>
        <v>3378149.6000000006</v>
      </c>
      <c r="M15" s="192">
        <f t="shared" si="2"/>
        <v>26447346.800000004</v>
      </c>
      <c r="N15" s="194">
        <f>M15*'Other Factors'!$B$8</f>
        <v>1004999178.4000002</v>
      </c>
      <c r="O15" s="193">
        <f>(('Trip Calculation'!F58*'Other Factors'!$E$17)+('Trip Calculation'!G58*'Other Factors'!$F$17)+('Trip Calculation'!H58*'Other Factors'!$G$17))/60</f>
        <v>236122.93483333336</v>
      </c>
      <c r="P15" s="184">
        <f t="shared" si="4"/>
        <v>16241946.800000004</v>
      </c>
      <c r="Q15" s="194">
        <f t="shared" si="5"/>
        <v>617193978.40000021</v>
      </c>
      <c r="R15" s="195">
        <f t="shared" si="6"/>
        <v>77558.012611111131</v>
      </c>
    </row>
    <row r="16" spans="1:18" x14ac:dyDescent="0.25">
      <c r="A16" s="5">
        <v>2026</v>
      </c>
      <c r="B16" s="184">
        <f>'Trip Calculation'!E15</f>
        <v>109499.99999999999</v>
      </c>
      <c r="C16" s="185">
        <f>'Trip Calculation'!F15*'Other Factors'!$B$15</f>
        <v>3066000</v>
      </c>
      <c r="D16" s="185">
        <f>'Trip Calculation'!G15*'Other Factors'!$C$15</f>
        <v>6159375</v>
      </c>
      <c r="E16" s="186">
        <f>'Trip Calculation'!H15*'Other Factors'!$D$15</f>
        <v>3531375.0000000005</v>
      </c>
      <c r="F16" s="187">
        <f t="shared" si="3"/>
        <v>12756750</v>
      </c>
      <c r="G16" s="194">
        <f>F16*'Other Factors'!$B$8</f>
        <v>484756500</v>
      </c>
      <c r="H16" s="189">
        <f>(('Trip Calculation'!F15*'Other Factors'!$B$17)+('Trip Calculation'!G15*'Other Factors'!$C$17)+('Trip Calculation'!H15*'Other Factors'!$D$17))/60</f>
        <v>198206.15277777781</v>
      </c>
      <c r="I16" s="190">
        <f>'Trip Calculation'!E59</f>
        <v>98997.5</v>
      </c>
      <c r="J16" s="194">
        <f>'Trip Calculation'!F59*'Other Factors'!$E$15</f>
        <v>7916028.7500000009</v>
      </c>
      <c r="K16" s="194">
        <f>'Trip Calculation'!F59*'Other Factors'!$F$15</f>
        <v>20920467.75</v>
      </c>
      <c r="L16" s="191">
        <f>'Trip Calculation'!H59*'Other Factors'!$G$15</f>
        <v>4222687.0000000009</v>
      </c>
      <c r="M16" s="192">
        <f t="shared" si="2"/>
        <v>33059183.5</v>
      </c>
      <c r="N16" s="194">
        <f>M16*'Other Factors'!$B$8</f>
        <v>1256248973</v>
      </c>
      <c r="O16" s="193">
        <f>(('Trip Calculation'!F59*'Other Factors'!$E$17)+('Trip Calculation'!G59*'Other Factors'!$F$17)+('Trip Calculation'!H59*'Other Factors'!$G$17))/60</f>
        <v>295153.66854166676</v>
      </c>
      <c r="P16" s="184">
        <f t="shared" si="4"/>
        <v>20302433.5</v>
      </c>
      <c r="Q16" s="194">
        <f t="shared" si="5"/>
        <v>771492473</v>
      </c>
      <c r="R16" s="195">
        <f t="shared" si="6"/>
        <v>96947.51576388895</v>
      </c>
    </row>
    <row r="17" spans="1:18" x14ac:dyDescent="0.25">
      <c r="A17" s="5">
        <v>2027</v>
      </c>
      <c r="B17" s="184">
        <f>'Trip Calculation'!E16</f>
        <v>131399.99999999997</v>
      </c>
      <c r="C17" s="185">
        <f>'Trip Calculation'!F16*'Other Factors'!$B$15</f>
        <v>3679199.9999999995</v>
      </c>
      <c r="D17" s="185">
        <f>'Trip Calculation'!G16*'Other Factors'!$C$15</f>
        <v>7391250</v>
      </c>
      <c r="E17" s="186">
        <f>'Trip Calculation'!H16*'Other Factors'!$D$15</f>
        <v>4237650.0000000009</v>
      </c>
      <c r="F17" s="187">
        <f t="shared" si="3"/>
        <v>15308100</v>
      </c>
      <c r="G17" s="194">
        <f>F17*'Other Factors'!$B$8</f>
        <v>581707800</v>
      </c>
      <c r="H17" s="189">
        <f>(('Trip Calculation'!F16*'Other Factors'!$B$17)+('Trip Calculation'!G16*'Other Factors'!$C$17)+('Trip Calculation'!H16*'Other Factors'!$D$17))/60</f>
        <v>237847.38333333333</v>
      </c>
      <c r="I17" s="190">
        <f>'Trip Calculation'!E60</f>
        <v>118797</v>
      </c>
      <c r="J17" s="194">
        <f>'Trip Calculation'!F60*'Other Factors'!$E$15</f>
        <v>9499234.5000000019</v>
      </c>
      <c r="K17" s="194">
        <f>'Trip Calculation'!F60*'Other Factors'!$F$15</f>
        <v>25104561.300000001</v>
      </c>
      <c r="L17" s="191">
        <f>'Trip Calculation'!H60*'Other Factors'!$G$15</f>
        <v>5067224.4000000004</v>
      </c>
      <c r="M17" s="192">
        <f t="shared" si="2"/>
        <v>39671020.200000003</v>
      </c>
      <c r="N17" s="194">
        <f>M17*'Other Factors'!$B$8</f>
        <v>1507498767.6000001</v>
      </c>
      <c r="O17" s="193">
        <f>(('Trip Calculation'!F60*'Other Factors'!$E$17)+('Trip Calculation'!G60*'Other Factors'!$F$17)+('Trip Calculation'!H60*'Other Factors'!$G$17))/60</f>
        <v>354184.40225000004</v>
      </c>
      <c r="P17" s="184">
        <f t="shared" si="4"/>
        <v>24362920.200000003</v>
      </c>
      <c r="Q17" s="194">
        <f t="shared" si="5"/>
        <v>925790967.60000014</v>
      </c>
      <c r="R17" s="195">
        <f t="shared" si="6"/>
        <v>116337.01891666671</v>
      </c>
    </row>
    <row r="18" spans="1:18" x14ac:dyDescent="0.25">
      <c r="A18" s="5">
        <v>2028</v>
      </c>
      <c r="B18" s="184">
        <f>'Trip Calculation'!E17</f>
        <v>175199.99999999997</v>
      </c>
      <c r="C18" s="185">
        <f>'Trip Calculation'!F17*'Other Factors'!$B$15</f>
        <v>4905599.9999999991</v>
      </c>
      <c r="D18" s="185">
        <f>'Trip Calculation'!G17*'Other Factors'!$C$15</f>
        <v>9855000</v>
      </c>
      <c r="E18" s="186">
        <f>'Trip Calculation'!H17*'Other Factors'!$D$15</f>
        <v>5650200</v>
      </c>
      <c r="F18" s="187">
        <f t="shared" si="3"/>
        <v>20410800</v>
      </c>
      <c r="G18" s="194">
        <f>F18*'Other Factors'!$B$8</f>
        <v>775610400</v>
      </c>
      <c r="H18" s="189">
        <f>(('Trip Calculation'!F17*'Other Factors'!$B$17)+('Trip Calculation'!G17*'Other Factors'!$C$17)+('Trip Calculation'!H17*'Other Factors'!$D$17))/60</f>
        <v>317129.84444444446</v>
      </c>
      <c r="I18" s="190">
        <f>'Trip Calculation'!E61</f>
        <v>158396</v>
      </c>
      <c r="J18" s="194">
        <f>'Trip Calculation'!F61*'Other Factors'!$E$15</f>
        <v>12665646.000000002</v>
      </c>
      <c r="K18" s="194">
        <f>'Trip Calculation'!F61*'Other Factors'!$F$15</f>
        <v>33472748.400000002</v>
      </c>
      <c r="L18" s="191">
        <f>'Trip Calculation'!H61*'Other Factors'!$G$15</f>
        <v>6756299.2000000011</v>
      </c>
      <c r="M18" s="192">
        <f t="shared" si="2"/>
        <v>52894693.600000009</v>
      </c>
      <c r="N18" s="194">
        <f>M18*'Other Factors'!$B$8</f>
        <v>2009998356.8000004</v>
      </c>
      <c r="O18" s="193">
        <f>(('Trip Calculation'!F61*'Other Factors'!$E$17)+('Trip Calculation'!G61*'Other Factors'!$F$17)+('Trip Calculation'!H61*'Other Factors'!$G$17))/60</f>
        <v>472245.86966666672</v>
      </c>
      <c r="P18" s="184">
        <f t="shared" si="4"/>
        <v>32483893.600000009</v>
      </c>
      <c r="Q18" s="194">
        <f t="shared" si="5"/>
        <v>1234387956.8000004</v>
      </c>
      <c r="R18" s="195">
        <f t="shared" si="6"/>
        <v>155116.02522222226</v>
      </c>
    </row>
    <row r="19" spans="1:18" x14ac:dyDescent="0.25">
      <c r="A19" s="5">
        <v>2029</v>
      </c>
      <c r="B19" s="184">
        <f>'Trip Calculation'!E18</f>
        <v>218999.99999999997</v>
      </c>
      <c r="C19" s="185">
        <f>'Trip Calculation'!F18*'Other Factors'!$B$15</f>
        <v>6132000</v>
      </c>
      <c r="D19" s="185">
        <f>'Trip Calculation'!G18*'Other Factors'!$C$15</f>
        <v>12318750</v>
      </c>
      <c r="E19" s="186">
        <f>'Trip Calculation'!H18*'Other Factors'!$D$15</f>
        <v>7062750.0000000009</v>
      </c>
      <c r="F19" s="187">
        <f t="shared" si="3"/>
        <v>25513500</v>
      </c>
      <c r="G19" s="194">
        <f>F19*'Other Factors'!$B$8</f>
        <v>969513000</v>
      </c>
      <c r="H19" s="189">
        <f>(('Trip Calculation'!F18*'Other Factors'!$B$17)+('Trip Calculation'!G18*'Other Factors'!$C$17)+('Trip Calculation'!H18*'Other Factors'!$D$17))/60</f>
        <v>396412.30555555562</v>
      </c>
      <c r="I19" s="190">
        <f>'Trip Calculation'!E62</f>
        <v>197995</v>
      </c>
      <c r="J19" s="194">
        <f>'Trip Calculation'!F62*'Other Factors'!$E$15</f>
        <v>15832057.500000002</v>
      </c>
      <c r="K19" s="194">
        <f>'Trip Calculation'!F62*'Other Factors'!$F$15</f>
        <v>41840935.5</v>
      </c>
      <c r="L19" s="191">
        <f>'Trip Calculation'!H62*'Other Factors'!$G$15</f>
        <v>8445374.0000000019</v>
      </c>
      <c r="M19" s="192">
        <f t="shared" si="2"/>
        <v>66118367</v>
      </c>
      <c r="N19" s="194">
        <f>M19*'Other Factors'!$B$8</f>
        <v>2512497946</v>
      </c>
      <c r="O19" s="193">
        <f>(('Trip Calculation'!F62*'Other Factors'!$E$17)+('Trip Calculation'!G62*'Other Factors'!$F$17)+('Trip Calculation'!H62*'Other Factors'!$G$17))/60</f>
        <v>590307.33708333352</v>
      </c>
      <c r="P19" s="184">
        <f t="shared" si="4"/>
        <v>40604867</v>
      </c>
      <c r="Q19" s="194">
        <f t="shared" si="5"/>
        <v>1542984946</v>
      </c>
      <c r="R19" s="195">
        <f t="shared" si="6"/>
        <v>193895.0315277779</v>
      </c>
    </row>
    <row r="20" spans="1:18" x14ac:dyDescent="0.25">
      <c r="A20" s="5">
        <v>2030</v>
      </c>
      <c r="B20" s="184">
        <f>'Trip Calculation'!E19</f>
        <v>262799.99999999994</v>
      </c>
      <c r="C20" s="185">
        <f>'Trip Calculation'!F19*'Other Factors'!$B$15</f>
        <v>7358399.9999999991</v>
      </c>
      <c r="D20" s="185">
        <f>'Trip Calculation'!G19*'Other Factors'!$C$15</f>
        <v>14782500</v>
      </c>
      <c r="E20" s="186">
        <f>'Trip Calculation'!H19*'Other Factors'!$D$15</f>
        <v>8475300.0000000019</v>
      </c>
      <c r="F20" s="187">
        <f t="shared" si="3"/>
        <v>30616200</v>
      </c>
      <c r="G20" s="194">
        <f>F20*'Other Factors'!$B$8</f>
        <v>1163415600</v>
      </c>
      <c r="H20" s="189">
        <f>(('Trip Calculation'!F19*'Other Factors'!$B$17)+('Trip Calculation'!G19*'Other Factors'!$C$17)+('Trip Calculation'!H19*'Other Factors'!$D$17))/60</f>
        <v>475694.76666666666</v>
      </c>
      <c r="I20" s="190">
        <f>'Trip Calculation'!E63</f>
        <v>237594</v>
      </c>
      <c r="J20" s="194">
        <f>'Trip Calculation'!F63*'Other Factors'!$E$15</f>
        <v>18998469.000000004</v>
      </c>
      <c r="K20" s="194">
        <f>'Trip Calculation'!F63*'Other Factors'!$F$15</f>
        <v>50209122.600000001</v>
      </c>
      <c r="L20" s="191">
        <f>'Trip Calculation'!H63*'Other Factors'!$G$15</f>
        <v>10134448.800000001</v>
      </c>
      <c r="M20" s="192">
        <f t="shared" si="2"/>
        <v>79342040.400000006</v>
      </c>
      <c r="N20" s="194">
        <f>M20*'Other Factors'!$B$8</f>
        <v>3014997535.2000003</v>
      </c>
      <c r="O20" s="193">
        <f>(('Trip Calculation'!F63*'Other Factors'!$E$17)+('Trip Calculation'!G63*'Other Factors'!$F$17)+('Trip Calculation'!H63*'Other Factors'!$G$17))/60</f>
        <v>708368.80450000009</v>
      </c>
      <c r="P20" s="184">
        <f t="shared" si="4"/>
        <v>48725840.400000006</v>
      </c>
      <c r="Q20" s="194">
        <f t="shared" si="5"/>
        <v>1851581935.2000003</v>
      </c>
      <c r="R20" s="195">
        <f t="shared" si="6"/>
        <v>232674.03783333342</v>
      </c>
    </row>
    <row r="21" spans="1:18" x14ac:dyDescent="0.25">
      <c r="A21" s="5">
        <v>2031</v>
      </c>
      <c r="B21" s="184">
        <f>'Trip Calculation'!E20</f>
        <v>319739.99999999994</v>
      </c>
      <c r="C21" s="185">
        <f>'Trip Calculation'!F20*'Other Factors'!$B$15</f>
        <v>8952719.9999999981</v>
      </c>
      <c r="D21" s="185">
        <f>'Trip Calculation'!G20*'Other Factors'!$C$15</f>
        <v>17985374.999999996</v>
      </c>
      <c r="E21" s="186">
        <f>'Trip Calculation'!H20*'Other Factors'!$D$15</f>
        <v>10311615.000000002</v>
      </c>
      <c r="F21" s="187">
        <f t="shared" si="3"/>
        <v>37249709.999999993</v>
      </c>
      <c r="G21" s="194">
        <f>F21*'Other Factors'!$B$8</f>
        <v>1415488979.9999998</v>
      </c>
      <c r="H21" s="189">
        <f>(('Trip Calculation'!F20*'Other Factors'!$B$17)+('Trip Calculation'!G20*'Other Factors'!$C$17)+('Trip Calculation'!H20*'Other Factors'!$D$17))/60</f>
        <v>578761.96611111111</v>
      </c>
      <c r="I21" s="190">
        <f>'Trip Calculation'!E64</f>
        <v>289072.7</v>
      </c>
      <c r="J21" s="194">
        <f>'Trip Calculation'!F64*'Other Factors'!$E$15</f>
        <v>23114803.950000003</v>
      </c>
      <c r="K21" s="194">
        <f>'Trip Calculation'!F64*'Other Factors'!$F$15</f>
        <v>61087765.829999998</v>
      </c>
      <c r="L21" s="191">
        <f>'Trip Calculation'!H64*'Other Factors'!$G$15</f>
        <v>12330246.040000003</v>
      </c>
      <c r="M21" s="192">
        <f t="shared" si="2"/>
        <v>96532815.820000008</v>
      </c>
      <c r="N21" s="194">
        <f>M21*'Other Factors'!$B$8</f>
        <v>3668247001.1600003</v>
      </c>
      <c r="O21" s="193">
        <f>(('Trip Calculation'!F64*'Other Factors'!$E$17)+('Trip Calculation'!G64*'Other Factors'!$F$17)+('Trip Calculation'!H64*'Other Factors'!$G$17))/60</f>
        <v>861848.71214166679</v>
      </c>
      <c r="P21" s="184">
        <f t="shared" si="4"/>
        <v>59283105.820000015</v>
      </c>
      <c r="Q21" s="194">
        <f t="shared" si="5"/>
        <v>2252758021.1600008</v>
      </c>
      <c r="R21" s="195">
        <f t="shared" si="6"/>
        <v>283086.74603055569</v>
      </c>
    </row>
    <row r="22" spans="1:18" x14ac:dyDescent="0.25">
      <c r="A22" s="5">
        <v>2032</v>
      </c>
      <c r="B22" s="184">
        <f>'Trip Calculation'!E21</f>
        <v>319739.99999999994</v>
      </c>
      <c r="C22" s="185">
        <f>'Trip Calculation'!F21*'Other Factors'!$B$15</f>
        <v>8952719.9999999981</v>
      </c>
      <c r="D22" s="185">
        <f>'Trip Calculation'!G21*'Other Factors'!$C$15</f>
        <v>17985374.999999996</v>
      </c>
      <c r="E22" s="186">
        <f>'Trip Calculation'!H21*'Other Factors'!$D$15</f>
        <v>10311615.000000002</v>
      </c>
      <c r="F22" s="187">
        <f t="shared" si="3"/>
        <v>37249709.999999993</v>
      </c>
      <c r="G22" s="194">
        <f>F22*'Other Factors'!$B$8</f>
        <v>1415488979.9999998</v>
      </c>
      <c r="H22" s="189">
        <f>(('Trip Calculation'!F21*'Other Factors'!$B$17)+('Trip Calculation'!G21*'Other Factors'!$C$17)+('Trip Calculation'!H21*'Other Factors'!$D$17))/60</f>
        <v>578761.96611111111</v>
      </c>
      <c r="I22" s="190">
        <f>'Trip Calculation'!E65</f>
        <v>289072.7</v>
      </c>
      <c r="J22" s="194">
        <f>'Trip Calculation'!F65*'Other Factors'!$E$15</f>
        <v>23114803.950000003</v>
      </c>
      <c r="K22" s="194">
        <f>'Trip Calculation'!F65*'Other Factors'!$F$15</f>
        <v>61087765.829999998</v>
      </c>
      <c r="L22" s="191">
        <f>'Trip Calculation'!H65*'Other Factors'!$G$15</f>
        <v>12330246.040000003</v>
      </c>
      <c r="M22" s="192">
        <f t="shared" si="2"/>
        <v>96532815.820000008</v>
      </c>
      <c r="N22" s="194">
        <f>M22*'Other Factors'!$B$8</f>
        <v>3668247001.1600003</v>
      </c>
      <c r="O22" s="193">
        <f>(('Trip Calculation'!F65*'Other Factors'!$E$17)+('Trip Calculation'!G65*'Other Factors'!$F$17)+('Trip Calculation'!H65*'Other Factors'!$G$17))/60</f>
        <v>861848.71214166679</v>
      </c>
      <c r="P22" s="184">
        <f t="shared" si="4"/>
        <v>59283105.820000015</v>
      </c>
      <c r="Q22" s="194">
        <f t="shared" si="5"/>
        <v>2252758021.1600008</v>
      </c>
      <c r="R22" s="195">
        <f t="shared" si="6"/>
        <v>283086.74603055569</v>
      </c>
    </row>
    <row r="23" spans="1:18" x14ac:dyDescent="0.25">
      <c r="A23" s="5">
        <v>2033</v>
      </c>
      <c r="B23" s="184">
        <f>'Trip Calculation'!E22</f>
        <v>319739.99999999994</v>
      </c>
      <c r="C23" s="185">
        <f>'Trip Calculation'!F22*'Other Factors'!$B$15</f>
        <v>8952719.9999999981</v>
      </c>
      <c r="D23" s="185">
        <f>'Trip Calculation'!G22*'Other Factors'!$C$15</f>
        <v>17985374.999999996</v>
      </c>
      <c r="E23" s="186">
        <f>'Trip Calculation'!H22*'Other Factors'!$D$15</f>
        <v>10311615.000000002</v>
      </c>
      <c r="F23" s="187">
        <f t="shared" si="3"/>
        <v>37249709.999999993</v>
      </c>
      <c r="G23" s="194">
        <f>F23*'Other Factors'!$B$8</f>
        <v>1415488979.9999998</v>
      </c>
      <c r="H23" s="189">
        <f>(('Trip Calculation'!F22*'Other Factors'!$B$17)+('Trip Calculation'!G22*'Other Factors'!$C$17)+('Trip Calculation'!H22*'Other Factors'!$D$17))/60</f>
        <v>578761.96611111111</v>
      </c>
      <c r="I23" s="190">
        <f>'Trip Calculation'!E66</f>
        <v>289072.7</v>
      </c>
      <c r="J23" s="194">
        <f>'Trip Calculation'!F66*'Other Factors'!$E$15</f>
        <v>23114803.950000003</v>
      </c>
      <c r="K23" s="194">
        <f>'Trip Calculation'!F66*'Other Factors'!$F$15</f>
        <v>61087765.829999998</v>
      </c>
      <c r="L23" s="191">
        <f>'Trip Calculation'!H66*'Other Factors'!$G$15</f>
        <v>12330246.040000003</v>
      </c>
      <c r="M23" s="192">
        <f t="shared" si="2"/>
        <v>96532815.820000008</v>
      </c>
      <c r="N23" s="194">
        <f>M23*'Other Factors'!$B$8</f>
        <v>3668247001.1600003</v>
      </c>
      <c r="O23" s="193">
        <f>(('Trip Calculation'!F66*'Other Factors'!$E$17)+('Trip Calculation'!G66*'Other Factors'!$F$17)+('Trip Calculation'!H66*'Other Factors'!$G$17))/60</f>
        <v>861848.71214166679</v>
      </c>
      <c r="P23" s="184">
        <f t="shared" si="4"/>
        <v>59283105.820000015</v>
      </c>
      <c r="Q23" s="194">
        <f t="shared" si="5"/>
        <v>2252758021.1600008</v>
      </c>
      <c r="R23" s="195">
        <f t="shared" si="6"/>
        <v>283086.74603055569</v>
      </c>
    </row>
    <row r="24" spans="1:18" x14ac:dyDescent="0.25">
      <c r="A24" s="5">
        <v>2034</v>
      </c>
      <c r="B24" s="184">
        <f>'Trip Calculation'!E23</f>
        <v>319739.99999999994</v>
      </c>
      <c r="C24" s="185">
        <f>'Trip Calculation'!F23*'Other Factors'!$B$15</f>
        <v>8952719.9999999981</v>
      </c>
      <c r="D24" s="185">
        <f>'Trip Calculation'!G23*'Other Factors'!$C$15</f>
        <v>17985374.999999996</v>
      </c>
      <c r="E24" s="186">
        <f>'Trip Calculation'!H23*'Other Factors'!$D$15</f>
        <v>10311615.000000002</v>
      </c>
      <c r="F24" s="187">
        <f t="shared" si="3"/>
        <v>37249709.999999993</v>
      </c>
      <c r="G24" s="194">
        <f>F24*'Other Factors'!$B$8</f>
        <v>1415488979.9999998</v>
      </c>
      <c r="H24" s="189">
        <f>(('Trip Calculation'!F23*'Other Factors'!$B$17)+('Trip Calculation'!G23*'Other Factors'!$C$17)+('Trip Calculation'!H23*'Other Factors'!$D$17))/60</f>
        <v>578761.96611111111</v>
      </c>
      <c r="I24" s="190">
        <f>'Trip Calculation'!E67</f>
        <v>289072.7</v>
      </c>
      <c r="J24" s="194">
        <f>'Trip Calculation'!F67*'Other Factors'!$E$15</f>
        <v>23114803.950000003</v>
      </c>
      <c r="K24" s="194">
        <f>'Trip Calculation'!F67*'Other Factors'!$F$15</f>
        <v>61087765.829999998</v>
      </c>
      <c r="L24" s="191">
        <f>'Trip Calculation'!H67*'Other Factors'!$G$15</f>
        <v>12330246.040000003</v>
      </c>
      <c r="M24" s="192">
        <f t="shared" si="2"/>
        <v>96532815.820000008</v>
      </c>
      <c r="N24" s="194">
        <f>M24*'Other Factors'!$B$8</f>
        <v>3668247001.1600003</v>
      </c>
      <c r="O24" s="193">
        <f>(('Trip Calculation'!F67*'Other Factors'!$E$17)+('Trip Calculation'!G67*'Other Factors'!$F$17)+('Trip Calculation'!H67*'Other Factors'!$G$17))/60</f>
        <v>861848.71214166679</v>
      </c>
      <c r="P24" s="184">
        <f t="shared" si="4"/>
        <v>59283105.820000015</v>
      </c>
      <c r="Q24" s="194">
        <f t="shared" si="5"/>
        <v>2252758021.1600008</v>
      </c>
      <c r="R24" s="195">
        <f t="shared" si="6"/>
        <v>283086.74603055569</v>
      </c>
    </row>
    <row r="25" spans="1:18" x14ac:dyDescent="0.25">
      <c r="A25" s="5">
        <v>2035</v>
      </c>
      <c r="B25" s="184">
        <f>'Trip Calculation'!E24</f>
        <v>319739.99999999994</v>
      </c>
      <c r="C25" s="185">
        <f>'Trip Calculation'!F24*'Other Factors'!$B$15</f>
        <v>8952719.9999999981</v>
      </c>
      <c r="D25" s="185">
        <f>'Trip Calculation'!G24*'Other Factors'!$C$15</f>
        <v>17985374.999999996</v>
      </c>
      <c r="E25" s="186">
        <f>'Trip Calculation'!H24*'Other Factors'!$D$15</f>
        <v>10311615.000000002</v>
      </c>
      <c r="F25" s="187">
        <f t="shared" si="3"/>
        <v>37249709.999999993</v>
      </c>
      <c r="G25" s="194">
        <f>F25*'Other Factors'!$B$8</f>
        <v>1415488979.9999998</v>
      </c>
      <c r="H25" s="189">
        <f>(('Trip Calculation'!F24*'Other Factors'!$B$17)+('Trip Calculation'!G24*'Other Factors'!$C$17)+('Trip Calculation'!H24*'Other Factors'!$D$17))/60</f>
        <v>578761.96611111111</v>
      </c>
      <c r="I25" s="190">
        <f>'Trip Calculation'!E68</f>
        <v>289072.7</v>
      </c>
      <c r="J25" s="194">
        <f>'Trip Calculation'!F68*'Other Factors'!$E$15</f>
        <v>23114803.950000003</v>
      </c>
      <c r="K25" s="194">
        <f>'Trip Calculation'!F68*'Other Factors'!$F$15</f>
        <v>61087765.829999998</v>
      </c>
      <c r="L25" s="191">
        <f>'Trip Calculation'!H68*'Other Factors'!$G$15</f>
        <v>12330246.040000003</v>
      </c>
      <c r="M25" s="192">
        <f t="shared" si="2"/>
        <v>96532815.820000008</v>
      </c>
      <c r="N25" s="194">
        <f>M25*'Other Factors'!$B$8</f>
        <v>3668247001.1600003</v>
      </c>
      <c r="O25" s="193">
        <f>(('Trip Calculation'!F68*'Other Factors'!$E$17)+('Trip Calculation'!G68*'Other Factors'!$F$17)+('Trip Calculation'!H68*'Other Factors'!$G$17))/60</f>
        <v>861848.71214166679</v>
      </c>
      <c r="P25" s="184">
        <f t="shared" si="4"/>
        <v>59283105.820000015</v>
      </c>
      <c r="Q25" s="194">
        <f t="shared" si="5"/>
        <v>2252758021.1600008</v>
      </c>
      <c r="R25" s="195">
        <f t="shared" si="6"/>
        <v>283086.74603055569</v>
      </c>
    </row>
    <row r="26" spans="1:18" x14ac:dyDescent="0.25">
      <c r="A26" s="5">
        <v>2036</v>
      </c>
      <c r="B26" s="184">
        <f>'Trip Calculation'!E25</f>
        <v>319739.99999999994</v>
      </c>
      <c r="C26" s="185">
        <f>'Trip Calculation'!F25*'Other Factors'!$B$15</f>
        <v>8952719.9999999981</v>
      </c>
      <c r="D26" s="185">
        <f>'Trip Calculation'!G25*'Other Factors'!$C$15</f>
        <v>17985374.999999996</v>
      </c>
      <c r="E26" s="186">
        <f>'Trip Calculation'!H25*'Other Factors'!$D$15</f>
        <v>10311615.000000002</v>
      </c>
      <c r="F26" s="187">
        <f t="shared" si="3"/>
        <v>37249709.999999993</v>
      </c>
      <c r="G26" s="194">
        <f>F26*'Other Factors'!$B$8</f>
        <v>1415488979.9999998</v>
      </c>
      <c r="H26" s="189">
        <f>(('Trip Calculation'!F25*'Other Factors'!$B$17)+('Trip Calculation'!G25*'Other Factors'!$C$17)+('Trip Calculation'!H25*'Other Factors'!$D$17))/60</f>
        <v>578761.96611111111</v>
      </c>
      <c r="I26" s="190">
        <f>'Trip Calculation'!E69</f>
        <v>289072.7</v>
      </c>
      <c r="J26" s="194">
        <f>'Trip Calculation'!F69*'Other Factors'!$E$15</f>
        <v>23114803.950000003</v>
      </c>
      <c r="K26" s="194">
        <f>'Trip Calculation'!F69*'Other Factors'!$F$15</f>
        <v>61087765.829999998</v>
      </c>
      <c r="L26" s="191">
        <f>'Trip Calculation'!H69*'Other Factors'!$G$15</f>
        <v>12330246.040000003</v>
      </c>
      <c r="M26" s="192">
        <f t="shared" si="2"/>
        <v>96532815.820000008</v>
      </c>
      <c r="N26" s="194">
        <f>M26*'Other Factors'!$B$8</f>
        <v>3668247001.1600003</v>
      </c>
      <c r="O26" s="193">
        <f>(('Trip Calculation'!F69*'Other Factors'!$E$17)+('Trip Calculation'!G69*'Other Factors'!$F$17)+('Trip Calculation'!H69*'Other Factors'!$G$17))/60</f>
        <v>861848.71214166679</v>
      </c>
      <c r="P26" s="184">
        <f t="shared" si="4"/>
        <v>59283105.820000015</v>
      </c>
      <c r="Q26" s="194">
        <f t="shared" si="5"/>
        <v>2252758021.1600008</v>
      </c>
      <c r="R26" s="195">
        <f t="shared" si="6"/>
        <v>283086.74603055569</v>
      </c>
    </row>
    <row r="27" spans="1:18" x14ac:dyDescent="0.25">
      <c r="A27" s="5">
        <v>2037</v>
      </c>
      <c r="B27" s="184">
        <f>'Trip Calculation'!E26</f>
        <v>319739.99999999994</v>
      </c>
      <c r="C27" s="185">
        <f>'Trip Calculation'!F26*'Other Factors'!$B$15</f>
        <v>8952719.9999999981</v>
      </c>
      <c r="D27" s="185">
        <f>'Trip Calculation'!G26*'Other Factors'!$C$15</f>
        <v>17985374.999999996</v>
      </c>
      <c r="E27" s="186">
        <f>'Trip Calculation'!H26*'Other Factors'!$D$15</f>
        <v>10311615.000000002</v>
      </c>
      <c r="F27" s="187">
        <f t="shared" si="3"/>
        <v>37249709.999999993</v>
      </c>
      <c r="G27" s="194">
        <f>F27*'Other Factors'!$B$8</f>
        <v>1415488979.9999998</v>
      </c>
      <c r="H27" s="189">
        <f>(('Trip Calculation'!F26*'Other Factors'!$B$17)+('Trip Calculation'!G26*'Other Factors'!$C$17)+('Trip Calculation'!H26*'Other Factors'!$D$17))/60</f>
        <v>578761.96611111111</v>
      </c>
      <c r="I27" s="190">
        <f>'Trip Calculation'!E70</f>
        <v>289072.7</v>
      </c>
      <c r="J27" s="194">
        <f>'Trip Calculation'!F70*'Other Factors'!$E$15</f>
        <v>23114803.950000003</v>
      </c>
      <c r="K27" s="194">
        <f>'Trip Calculation'!F70*'Other Factors'!$F$15</f>
        <v>61087765.829999998</v>
      </c>
      <c r="L27" s="191">
        <f>'Trip Calculation'!H70*'Other Factors'!$G$15</f>
        <v>12330246.040000003</v>
      </c>
      <c r="M27" s="192">
        <f t="shared" si="2"/>
        <v>96532815.820000008</v>
      </c>
      <c r="N27" s="194">
        <f>M27*'Other Factors'!$B$8</f>
        <v>3668247001.1600003</v>
      </c>
      <c r="O27" s="193">
        <f>(('Trip Calculation'!F70*'Other Factors'!$E$17)+('Trip Calculation'!G70*'Other Factors'!$F$17)+('Trip Calculation'!H70*'Other Factors'!$G$17))/60</f>
        <v>861848.71214166679</v>
      </c>
      <c r="P27" s="184">
        <f t="shared" si="4"/>
        <v>59283105.820000015</v>
      </c>
      <c r="Q27" s="194">
        <f t="shared" si="5"/>
        <v>2252758021.1600008</v>
      </c>
      <c r="R27" s="195">
        <f t="shared" si="6"/>
        <v>283086.74603055569</v>
      </c>
    </row>
    <row r="28" spans="1:18" x14ac:dyDescent="0.25">
      <c r="A28" s="5">
        <v>2038</v>
      </c>
      <c r="B28" s="184">
        <f>'Trip Calculation'!E27</f>
        <v>319739.99999999994</v>
      </c>
      <c r="C28" s="185">
        <f>'Trip Calculation'!F27*'Other Factors'!$B$15</f>
        <v>8952719.9999999981</v>
      </c>
      <c r="D28" s="185">
        <f>'Trip Calculation'!G27*'Other Factors'!$C$15</f>
        <v>17985374.999999996</v>
      </c>
      <c r="E28" s="186">
        <f>'Trip Calculation'!H27*'Other Factors'!$D$15</f>
        <v>10311615.000000002</v>
      </c>
      <c r="F28" s="187">
        <f t="shared" si="3"/>
        <v>37249709.999999993</v>
      </c>
      <c r="G28" s="194">
        <f>F28*'Other Factors'!$B$8</f>
        <v>1415488979.9999998</v>
      </c>
      <c r="H28" s="189">
        <f>(('Trip Calculation'!F27*'Other Factors'!$B$17)+('Trip Calculation'!G27*'Other Factors'!$C$17)+('Trip Calculation'!H27*'Other Factors'!$D$17))/60</f>
        <v>578761.96611111111</v>
      </c>
      <c r="I28" s="190">
        <f>'Trip Calculation'!E71</f>
        <v>289072.7</v>
      </c>
      <c r="J28" s="194">
        <f>'Trip Calculation'!F71*'Other Factors'!$E$15</f>
        <v>23114803.950000003</v>
      </c>
      <c r="K28" s="194">
        <f>'Trip Calculation'!F71*'Other Factors'!$F$15</f>
        <v>61087765.829999998</v>
      </c>
      <c r="L28" s="191">
        <f>'Trip Calculation'!H71*'Other Factors'!$G$15</f>
        <v>12330246.040000003</v>
      </c>
      <c r="M28" s="192">
        <f t="shared" si="2"/>
        <v>96532815.820000008</v>
      </c>
      <c r="N28" s="194">
        <f>M28*'Other Factors'!$B$8</f>
        <v>3668247001.1600003</v>
      </c>
      <c r="O28" s="193">
        <f>(('Trip Calculation'!F71*'Other Factors'!$E$17)+('Trip Calculation'!G71*'Other Factors'!$F$17)+('Trip Calculation'!H71*'Other Factors'!$G$17))/60</f>
        <v>861848.71214166679</v>
      </c>
      <c r="P28" s="184">
        <f t="shared" si="4"/>
        <v>59283105.820000015</v>
      </c>
      <c r="Q28" s="194">
        <f t="shared" si="5"/>
        <v>2252758021.1600008</v>
      </c>
      <c r="R28" s="195">
        <f t="shared" si="6"/>
        <v>283086.74603055569</v>
      </c>
    </row>
    <row r="29" spans="1:18" x14ac:dyDescent="0.25">
      <c r="A29" s="5">
        <v>2039</v>
      </c>
      <c r="B29" s="184">
        <f>'Trip Calculation'!E28</f>
        <v>319739.99999999994</v>
      </c>
      <c r="C29" s="185">
        <f>'Trip Calculation'!F28*'Other Factors'!$B$15</f>
        <v>8952719.9999999981</v>
      </c>
      <c r="D29" s="185">
        <f>'Trip Calculation'!G28*'Other Factors'!$C$15</f>
        <v>17985374.999999996</v>
      </c>
      <c r="E29" s="186">
        <f>'Trip Calculation'!H28*'Other Factors'!$D$15</f>
        <v>10311615.000000002</v>
      </c>
      <c r="F29" s="187">
        <f t="shared" si="3"/>
        <v>37249709.999999993</v>
      </c>
      <c r="G29" s="194">
        <f>F29*'Other Factors'!$B$8</f>
        <v>1415488979.9999998</v>
      </c>
      <c r="H29" s="189">
        <f>(('Trip Calculation'!F28*'Other Factors'!$B$17)+('Trip Calculation'!G28*'Other Factors'!$C$17)+('Trip Calculation'!H28*'Other Factors'!$D$17))/60</f>
        <v>578761.96611111111</v>
      </c>
      <c r="I29" s="190">
        <f>'Trip Calculation'!E72</f>
        <v>289072.7</v>
      </c>
      <c r="J29" s="194">
        <f>'Trip Calculation'!F72*'Other Factors'!$E$15</f>
        <v>23114803.950000003</v>
      </c>
      <c r="K29" s="194">
        <f>'Trip Calculation'!F72*'Other Factors'!$F$15</f>
        <v>61087765.829999998</v>
      </c>
      <c r="L29" s="191">
        <f>'Trip Calculation'!H72*'Other Factors'!$G$15</f>
        <v>12330246.040000003</v>
      </c>
      <c r="M29" s="192">
        <f t="shared" si="2"/>
        <v>96532815.820000008</v>
      </c>
      <c r="N29" s="194">
        <f>M29*'Other Factors'!$B$8</f>
        <v>3668247001.1600003</v>
      </c>
      <c r="O29" s="193">
        <f>(('Trip Calculation'!F72*'Other Factors'!$E$17)+('Trip Calculation'!G72*'Other Factors'!$F$17)+('Trip Calculation'!H72*'Other Factors'!$G$17))/60</f>
        <v>861848.71214166679</v>
      </c>
      <c r="P29" s="184">
        <f t="shared" si="4"/>
        <v>59283105.820000015</v>
      </c>
      <c r="Q29" s="194">
        <f t="shared" si="5"/>
        <v>2252758021.1600008</v>
      </c>
      <c r="R29" s="195">
        <f t="shared" si="6"/>
        <v>283086.74603055569</v>
      </c>
    </row>
    <row r="30" spans="1:18" x14ac:dyDescent="0.25">
      <c r="A30" s="5">
        <v>2040</v>
      </c>
      <c r="B30" s="184">
        <f>'Trip Calculation'!E29</f>
        <v>319739.99999999994</v>
      </c>
      <c r="C30" s="185">
        <f>'Trip Calculation'!F29*'Other Factors'!$B$15</f>
        <v>8952719.9999999981</v>
      </c>
      <c r="D30" s="185">
        <f>'Trip Calculation'!G29*'Other Factors'!$C$15</f>
        <v>17985374.999999996</v>
      </c>
      <c r="E30" s="186">
        <f>'Trip Calculation'!H29*'Other Factors'!$D$15</f>
        <v>10311615.000000002</v>
      </c>
      <c r="F30" s="187">
        <f t="shared" si="3"/>
        <v>37249709.999999993</v>
      </c>
      <c r="G30" s="194">
        <f>F30*'Other Factors'!$B$8</f>
        <v>1415488979.9999998</v>
      </c>
      <c r="H30" s="189">
        <f>(('Trip Calculation'!F29*'Other Factors'!$B$17)+('Trip Calculation'!G29*'Other Factors'!$C$17)+('Trip Calculation'!H29*'Other Factors'!$D$17))/60</f>
        <v>578761.96611111111</v>
      </c>
      <c r="I30" s="190">
        <f>'Trip Calculation'!E73</f>
        <v>289072.7</v>
      </c>
      <c r="J30" s="194">
        <f>'Trip Calculation'!F73*'Other Factors'!$E$15</f>
        <v>23114803.950000003</v>
      </c>
      <c r="K30" s="194">
        <f>'Trip Calculation'!F73*'Other Factors'!$F$15</f>
        <v>61087765.829999998</v>
      </c>
      <c r="L30" s="191">
        <f>'Trip Calculation'!H73*'Other Factors'!$G$15</f>
        <v>12330246.040000003</v>
      </c>
      <c r="M30" s="192">
        <f t="shared" si="2"/>
        <v>96532815.820000008</v>
      </c>
      <c r="N30" s="194">
        <f>M30*'Other Factors'!$B$8</f>
        <v>3668247001.1600003</v>
      </c>
      <c r="O30" s="193">
        <f>(('Trip Calculation'!F73*'Other Factors'!$E$17)+('Trip Calculation'!G73*'Other Factors'!$F$17)+('Trip Calculation'!H73*'Other Factors'!$G$17))/60</f>
        <v>861848.71214166679</v>
      </c>
      <c r="P30" s="184">
        <f t="shared" si="4"/>
        <v>59283105.820000015</v>
      </c>
      <c r="Q30" s="194">
        <f t="shared" si="5"/>
        <v>2252758021.1600008</v>
      </c>
      <c r="R30" s="195">
        <f t="shared" si="6"/>
        <v>283086.74603055569</v>
      </c>
    </row>
    <row r="31" spans="1:18" x14ac:dyDescent="0.25">
      <c r="A31" s="5">
        <v>2041</v>
      </c>
      <c r="B31" s="184">
        <f>'Trip Calculation'!E30</f>
        <v>319739.99999999994</v>
      </c>
      <c r="C31" s="185">
        <f>'Trip Calculation'!F30*'Other Factors'!$B$15</f>
        <v>8952719.9999999981</v>
      </c>
      <c r="D31" s="185">
        <f>'Trip Calculation'!G30*'Other Factors'!$C$15</f>
        <v>17985374.999999996</v>
      </c>
      <c r="E31" s="186">
        <f>'Trip Calculation'!H30*'Other Factors'!$D$15</f>
        <v>10311615.000000002</v>
      </c>
      <c r="F31" s="187">
        <f t="shared" si="3"/>
        <v>37249709.999999993</v>
      </c>
      <c r="G31" s="194">
        <f>F31*'Other Factors'!$B$8</f>
        <v>1415488979.9999998</v>
      </c>
      <c r="H31" s="189">
        <f>(('Trip Calculation'!F30*'Other Factors'!$B$17)+('Trip Calculation'!G30*'Other Factors'!$C$17)+('Trip Calculation'!H30*'Other Factors'!$D$17))/60</f>
        <v>578761.96611111111</v>
      </c>
      <c r="I31" s="190">
        <f>'Trip Calculation'!E74</f>
        <v>289072.7</v>
      </c>
      <c r="J31" s="194">
        <f>'Trip Calculation'!F74*'Other Factors'!$E$15</f>
        <v>23114803.950000003</v>
      </c>
      <c r="K31" s="194">
        <f>'Trip Calculation'!F74*'Other Factors'!$F$15</f>
        <v>61087765.829999998</v>
      </c>
      <c r="L31" s="191">
        <f>'Trip Calculation'!H74*'Other Factors'!$G$15</f>
        <v>12330246.040000003</v>
      </c>
      <c r="M31" s="192">
        <f t="shared" si="2"/>
        <v>96532815.820000008</v>
      </c>
      <c r="N31" s="194">
        <f>M31*'Other Factors'!$B$8</f>
        <v>3668247001.1600003</v>
      </c>
      <c r="O31" s="193">
        <f>(('Trip Calculation'!F74*'Other Factors'!$E$17)+('Trip Calculation'!G74*'Other Factors'!$F$17)+('Trip Calculation'!H74*'Other Factors'!$G$17))/60</f>
        <v>861848.71214166679</v>
      </c>
      <c r="P31" s="184">
        <f t="shared" si="4"/>
        <v>59283105.820000015</v>
      </c>
      <c r="Q31" s="194">
        <f t="shared" si="5"/>
        <v>2252758021.1600008</v>
      </c>
      <c r="R31" s="195">
        <f t="shared" si="6"/>
        <v>283086.74603055569</v>
      </c>
    </row>
    <row r="32" spans="1:18" x14ac:dyDescent="0.25">
      <c r="A32" s="5">
        <v>2042</v>
      </c>
      <c r="B32" s="184">
        <f>'Trip Calculation'!E31</f>
        <v>319739.99999999994</v>
      </c>
      <c r="C32" s="185">
        <f>'Trip Calculation'!F31*'Other Factors'!$B$15</f>
        <v>8952719.9999999981</v>
      </c>
      <c r="D32" s="185">
        <f>'Trip Calculation'!G31*'Other Factors'!$C$15</f>
        <v>17985374.999999996</v>
      </c>
      <c r="E32" s="186">
        <f>'Trip Calculation'!H31*'Other Factors'!$D$15</f>
        <v>10311615.000000002</v>
      </c>
      <c r="F32" s="187">
        <f t="shared" si="3"/>
        <v>37249709.999999993</v>
      </c>
      <c r="G32" s="194">
        <f>F32*'Other Factors'!$B$8</f>
        <v>1415488979.9999998</v>
      </c>
      <c r="H32" s="189">
        <f>(('Trip Calculation'!F31*'Other Factors'!$B$17)+('Trip Calculation'!G31*'Other Factors'!$C$17)+('Trip Calculation'!H31*'Other Factors'!$D$17))/60</f>
        <v>578761.96611111111</v>
      </c>
      <c r="I32" s="190">
        <f>'Trip Calculation'!E75</f>
        <v>289072.7</v>
      </c>
      <c r="J32" s="194">
        <f>'Trip Calculation'!F75*'Other Factors'!$E$15</f>
        <v>23114803.950000003</v>
      </c>
      <c r="K32" s="194">
        <f>'Trip Calculation'!F75*'Other Factors'!$F$15</f>
        <v>61087765.829999998</v>
      </c>
      <c r="L32" s="191">
        <f>'Trip Calculation'!H75*'Other Factors'!$G$15</f>
        <v>12330246.040000003</v>
      </c>
      <c r="M32" s="192">
        <f t="shared" si="2"/>
        <v>96532815.820000008</v>
      </c>
      <c r="N32" s="194">
        <f>M32*'Other Factors'!$B$8</f>
        <v>3668247001.1600003</v>
      </c>
      <c r="O32" s="193">
        <f>(('Trip Calculation'!F75*'Other Factors'!$E$17)+('Trip Calculation'!G75*'Other Factors'!$F$17)+('Trip Calculation'!H75*'Other Factors'!$G$17))/60</f>
        <v>861848.71214166679</v>
      </c>
      <c r="P32" s="184">
        <f t="shared" si="4"/>
        <v>59283105.820000015</v>
      </c>
      <c r="Q32" s="194">
        <f t="shared" si="5"/>
        <v>2252758021.1600008</v>
      </c>
      <c r="R32" s="195">
        <f t="shared" si="6"/>
        <v>283086.74603055569</v>
      </c>
    </row>
    <row r="33" spans="1:18" x14ac:dyDescent="0.25">
      <c r="A33" s="5">
        <v>2043</v>
      </c>
      <c r="B33" s="184">
        <f>'Trip Calculation'!E32</f>
        <v>319739.99999999994</v>
      </c>
      <c r="C33" s="185">
        <f>'Trip Calculation'!F32*'Other Factors'!$B$15</f>
        <v>8952719.9999999981</v>
      </c>
      <c r="D33" s="185">
        <f>'Trip Calculation'!G32*'Other Factors'!$C$15</f>
        <v>17985374.999999996</v>
      </c>
      <c r="E33" s="186">
        <f>'Trip Calculation'!H32*'Other Factors'!$D$15</f>
        <v>10311615.000000002</v>
      </c>
      <c r="F33" s="187">
        <f t="shared" si="3"/>
        <v>37249709.999999993</v>
      </c>
      <c r="G33" s="194">
        <f>F33*'Other Factors'!$B$8</f>
        <v>1415488979.9999998</v>
      </c>
      <c r="H33" s="189">
        <f>(('Trip Calculation'!F32*'Other Factors'!$B$17)+('Trip Calculation'!G32*'Other Factors'!$C$17)+('Trip Calculation'!H32*'Other Factors'!$D$17))/60</f>
        <v>578761.96611111111</v>
      </c>
      <c r="I33" s="190">
        <f>'Trip Calculation'!E76</f>
        <v>289072.7</v>
      </c>
      <c r="J33" s="194">
        <f>'Trip Calculation'!F76*'Other Factors'!$E$15</f>
        <v>23114803.950000003</v>
      </c>
      <c r="K33" s="194">
        <f>'Trip Calculation'!F76*'Other Factors'!$F$15</f>
        <v>61087765.829999998</v>
      </c>
      <c r="L33" s="191">
        <f>'Trip Calculation'!H76*'Other Factors'!$G$15</f>
        <v>12330246.040000003</v>
      </c>
      <c r="M33" s="192">
        <f t="shared" si="2"/>
        <v>96532815.820000008</v>
      </c>
      <c r="N33" s="194">
        <f>M33*'Other Factors'!$B$8</f>
        <v>3668247001.1600003</v>
      </c>
      <c r="O33" s="193">
        <f>(('Trip Calculation'!F76*'Other Factors'!$E$17)+('Trip Calculation'!G76*'Other Factors'!$F$17)+('Trip Calculation'!H76*'Other Factors'!$G$17))/60</f>
        <v>861848.71214166679</v>
      </c>
      <c r="P33" s="184">
        <f t="shared" si="4"/>
        <v>59283105.820000015</v>
      </c>
      <c r="Q33" s="194">
        <f t="shared" si="5"/>
        <v>2252758021.1600008</v>
      </c>
      <c r="R33" s="195">
        <f t="shared" si="6"/>
        <v>283086.74603055569</v>
      </c>
    </row>
    <row r="34" spans="1:18" x14ac:dyDescent="0.25">
      <c r="A34" s="5">
        <v>2044</v>
      </c>
      <c r="B34" s="184">
        <f>'Trip Calculation'!E33</f>
        <v>319739.99999999994</v>
      </c>
      <c r="C34" s="185">
        <f>'Trip Calculation'!F33*'Other Factors'!$B$15</f>
        <v>8952719.9999999981</v>
      </c>
      <c r="D34" s="185">
        <f>'Trip Calculation'!G33*'Other Factors'!$C$15</f>
        <v>17985374.999999996</v>
      </c>
      <c r="E34" s="186">
        <f>'Trip Calculation'!H33*'Other Factors'!$D$15</f>
        <v>10311615.000000002</v>
      </c>
      <c r="F34" s="187">
        <f t="shared" si="3"/>
        <v>37249709.999999993</v>
      </c>
      <c r="G34" s="194">
        <f>F34*'Other Factors'!$B$8</f>
        <v>1415488979.9999998</v>
      </c>
      <c r="H34" s="189">
        <f>(('Trip Calculation'!F33*'Other Factors'!$B$17)+('Trip Calculation'!G33*'Other Factors'!$C$17)+('Trip Calculation'!H33*'Other Factors'!$D$17))/60</f>
        <v>578761.96611111111</v>
      </c>
      <c r="I34" s="190">
        <f>'Trip Calculation'!E77</f>
        <v>289072.7</v>
      </c>
      <c r="J34" s="194">
        <f>'Trip Calculation'!F77*'Other Factors'!$E$15</f>
        <v>23114803.950000003</v>
      </c>
      <c r="K34" s="194">
        <f>'Trip Calculation'!F77*'Other Factors'!$F$15</f>
        <v>61087765.829999998</v>
      </c>
      <c r="L34" s="191">
        <f>'Trip Calculation'!H77*'Other Factors'!$G$15</f>
        <v>12330246.040000003</v>
      </c>
      <c r="M34" s="192">
        <f t="shared" si="2"/>
        <v>96532815.820000008</v>
      </c>
      <c r="N34" s="194">
        <f>M34*'Other Factors'!$B$8</f>
        <v>3668247001.1600003</v>
      </c>
      <c r="O34" s="193">
        <f>(('Trip Calculation'!F77*'Other Factors'!$E$17)+('Trip Calculation'!G77*'Other Factors'!$F$17)+('Trip Calculation'!H77*'Other Factors'!$G$17))/60</f>
        <v>861848.71214166679</v>
      </c>
      <c r="P34" s="190">
        <f t="shared" si="4"/>
        <v>59283105.820000015</v>
      </c>
      <c r="Q34" s="194">
        <f t="shared" si="5"/>
        <v>2252758021.1600008</v>
      </c>
      <c r="R34" s="195">
        <f t="shared" si="6"/>
        <v>283086.74603055569</v>
      </c>
    </row>
    <row r="35" spans="1:18" x14ac:dyDescent="0.25">
      <c r="A35" s="5">
        <v>2045</v>
      </c>
      <c r="B35" s="184">
        <f>'Trip Calculation'!E34</f>
        <v>319739.99999999994</v>
      </c>
      <c r="C35" s="185">
        <f>'Trip Calculation'!F34*'Other Factors'!$B$15</f>
        <v>8952719.9999999981</v>
      </c>
      <c r="D35" s="185">
        <f>'Trip Calculation'!G34*'Other Factors'!$C$15</f>
        <v>17985374.999999996</v>
      </c>
      <c r="E35" s="186">
        <f>'Trip Calculation'!H34*'Other Factors'!$D$15</f>
        <v>10311615.000000002</v>
      </c>
      <c r="F35" s="187">
        <f t="shared" si="3"/>
        <v>37249709.999999993</v>
      </c>
      <c r="G35" s="194">
        <f>F35*'Other Factors'!$B$8</f>
        <v>1415488979.9999998</v>
      </c>
      <c r="H35" s="189">
        <f>(('Trip Calculation'!F34*'Other Factors'!$B$17)+('Trip Calculation'!G34*'Other Factors'!$C$17)+('Trip Calculation'!H34*'Other Factors'!$D$17))/60</f>
        <v>578761.96611111111</v>
      </c>
      <c r="I35" s="190">
        <f>'Trip Calculation'!E78</f>
        <v>289072.7</v>
      </c>
      <c r="J35" s="194">
        <f>'Trip Calculation'!F78*'Other Factors'!$E$15</f>
        <v>23114803.950000003</v>
      </c>
      <c r="K35" s="194">
        <f>'Trip Calculation'!F78*'Other Factors'!$F$15</f>
        <v>61087765.829999998</v>
      </c>
      <c r="L35" s="191">
        <f>'Trip Calculation'!H78*'Other Factors'!$G$15</f>
        <v>12330246.040000003</v>
      </c>
      <c r="M35" s="192">
        <f t="shared" si="2"/>
        <v>96532815.820000008</v>
      </c>
      <c r="N35" s="194">
        <f>M35*'Other Factors'!$B$8</f>
        <v>3668247001.1600003</v>
      </c>
      <c r="O35" s="193">
        <f>(('Trip Calculation'!F78*'Other Factors'!$E$17)+('Trip Calculation'!G78*'Other Factors'!$F$17)+('Trip Calculation'!H78*'Other Factors'!$G$17))/60</f>
        <v>861848.71214166679</v>
      </c>
      <c r="P35" s="190">
        <f t="shared" si="4"/>
        <v>59283105.820000015</v>
      </c>
      <c r="Q35" s="194">
        <f t="shared" si="5"/>
        <v>2252758021.1600008</v>
      </c>
      <c r="R35" s="195">
        <f t="shared" si="6"/>
        <v>283086.74603055569</v>
      </c>
    </row>
    <row r="36" spans="1:18" x14ac:dyDescent="0.25">
      <c r="A36" s="5">
        <v>2046</v>
      </c>
      <c r="B36" s="184">
        <f>'Trip Calculation'!E35</f>
        <v>319739.99999999994</v>
      </c>
      <c r="C36" s="185">
        <f>'Trip Calculation'!F35*'Other Factors'!$B$15</f>
        <v>8952719.9999999981</v>
      </c>
      <c r="D36" s="185">
        <f>'Trip Calculation'!G35*'Other Factors'!$C$15</f>
        <v>17985374.999999996</v>
      </c>
      <c r="E36" s="186">
        <f>'Trip Calculation'!H35*'Other Factors'!$D$15</f>
        <v>10311615.000000002</v>
      </c>
      <c r="F36" s="187">
        <f t="shared" si="3"/>
        <v>37249709.999999993</v>
      </c>
      <c r="G36" s="194">
        <f>F36*'Other Factors'!$B$8</f>
        <v>1415488979.9999998</v>
      </c>
      <c r="H36" s="189">
        <f>(('Trip Calculation'!F35*'Other Factors'!$B$17)+('Trip Calculation'!G35*'Other Factors'!$C$17)+('Trip Calculation'!H35*'Other Factors'!$D$17))/60</f>
        <v>578761.96611111111</v>
      </c>
      <c r="I36" s="190">
        <f>'Trip Calculation'!E79</f>
        <v>289072.7</v>
      </c>
      <c r="J36" s="194">
        <f>'Trip Calculation'!F79*'Other Factors'!$E$15</f>
        <v>23114803.950000003</v>
      </c>
      <c r="K36" s="194">
        <f>'Trip Calculation'!F79*'Other Factors'!$F$15</f>
        <v>61087765.829999998</v>
      </c>
      <c r="L36" s="191">
        <f>'Trip Calculation'!H79*'Other Factors'!$G$15</f>
        <v>12330246.040000003</v>
      </c>
      <c r="M36" s="192">
        <f t="shared" si="2"/>
        <v>96532815.820000008</v>
      </c>
      <c r="N36" s="194">
        <f>M36*'Other Factors'!$B$8</f>
        <v>3668247001.1600003</v>
      </c>
      <c r="O36" s="193">
        <f>(('Trip Calculation'!F79*'Other Factors'!$E$17)+('Trip Calculation'!G79*'Other Factors'!$F$17)+('Trip Calculation'!H79*'Other Factors'!$G$17))/60</f>
        <v>861848.71214166679</v>
      </c>
      <c r="P36" s="190">
        <f t="shared" si="4"/>
        <v>59283105.820000015</v>
      </c>
      <c r="Q36" s="194">
        <f t="shared" si="5"/>
        <v>2252758021.1600008</v>
      </c>
      <c r="R36" s="195">
        <f t="shared" si="6"/>
        <v>283086.74603055569</v>
      </c>
    </row>
    <row r="37" spans="1:18" x14ac:dyDescent="0.25">
      <c r="A37" s="5">
        <v>2047</v>
      </c>
      <c r="B37" s="184">
        <f>'Trip Calculation'!E36</f>
        <v>319739.99999999994</v>
      </c>
      <c r="C37" s="185">
        <f>'Trip Calculation'!F36*'Other Factors'!$B$15</f>
        <v>8952719.9999999981</v>
      </c>
      <c r="D37" s="185">
        <f>'Trip Calculation'!G36*'Other Factors'!$C$15</f>
        <v>17985374.999999996</v>
      </c>
      <c r="E37" s="186">
        <f>'Trip Calculation'!H36*'Other Factors'!$D$15</f>
        <v>10311615.000000002</v>
      </c>
      <c r="F37" s="187">
        <f t="shared" si="3"/>
        <v>37249709.999999993</v>
      </c>
      <c r="G37" s="194">
        <f>F37*'Other Factors'!$B$8</f>
        <v>1415488979.9999998</v>
      </c>
      <c r="H37" s="189">
        <f>(('Trip Calculation'!F36*'Other Factors'!$B$17)+('Trip Calculation'!G36*'Other Factors'!$C$17)+('Trip Calculation'!H36*'Other Factors'!$D$17))/60</f>
        <v>578761.96611111111</v>
      </c>
      <c r="I37" s="190">
        <f>'Trip Calculation'!E80</f>
        <v>289072.7</v>
      </c>
      <c r="J37" s="194">
        <f>'Trip Calculation'!F80*'Other Factors'!$E$15</f>
        <v>23114803.950000003</v>
      </c>
      <c r="K37" s="194">
        <f>'Trip Calculation'!F80*'Other Factors'!$F$15</f>
        <v>61087765.829999998</v>
      </c>
      <c r="L37" s="191">
        <f>'Trip Calculation'!H80*'Other Factors'!$G$15</f>
        <v>12330246.040000003</v>
      </c>
      <c r="M37" s="192">
        <f t="shared" si="2"/>
        <v>96532815.820000008</v>
      </c>
      <c r="N37" s="194">
        <f>M37*'Other Factors'!$B$8</f>
        <v>3668247001.1600003</v>
      </c>
      <c r="O37" s="193">
        <f>(('Trip Calculation'!F80*'Other Factors'!$E$17)+('Trip Calculation'!G80*'Other Factors'!$F$17)+('Trip Calculation'!H80*'Other Factors'!$G$17))/60</f>
        <v>861848.71214166679</v>
      </c>
      <c r="P37" s="190">
        <f t="shared" si="4"/>
        <v>59283105.820000015</v>
      </c>
      <c r="Q37" s="194">
        <f t="shared" si="5"/>
        <v>2252758021.1600008</v>
      </c>
      <c r="R37" s="195">
        <f t="shared" si="6"/>
        <v>283086.74603055569</v>
      </c>
    </row>
    <row r="38" spans="1:18" x14ac:dyDescent="0.25">
      <c r="A38" s="5">
        <v>2048</v>
      </c>
      <c r="B38" s="184">
        <f>'Trip Calculation'!E37</f>
        <v>319739.99999999994</v>
      </c>
      <c r="C38" s="185">
        <f>'Trip Calculation'!F37*'Other Factors'!$B$15</f>
        <v>8952719.9999999981</v>
      </c>
      <c r="D38" s="185">
        <f>'Trip Calculation'!G37*'Other Factors'!$C$15</f>
        <v>17985374.999999996</v>
      </c>
      <c r="E38" s="186">
        <f>'Trip Calculation'!H37*'Other Factors'!$D$15</f>
        <v>10311615.000000002</v>
      </c>
      <c r="F38" s="187">
        <f t="shared" ref="F38:F41" si="7">C38+D38+E38</f>
        <v>37249709.999999993</v>
      </c>
      <c r="G38" s="194">
        <f>F38*'Other Factors'!$B$8</f>
        <v>1415488979.9999998</v>
      </c>
      <c r="H38" s="189">
        <f>(('Trip Calculation'!F37*'Other Factors'!$B$17)+('Trip Calculation'!G37*'Other Factors'!$C$17)+('Trip Calculation'!H37*'Other Factors'!$D$17))/60</f>
        <v>578761.96611111111</v>
      </c>
      <c r="I38" s="190">
        <f>'Trip Calculation'!E81</f>
        <v>289072.7</v>
      </c>
      <c r="J38" s="194">
        <f>'Trip Calculation'!F81*'Other Factors'!$E$15</f>
        <v>23114803.950000003</v>
      </c>
      <c r="K38" s="194">
        <f>'Trip Calculation'!F81*'Other Factors'!$F$15</f>
        <v>61087765.829999998</v>
      </c>
      <c r="L38" s="191">
        <f>'Trip Calculation'!H81*'Other Factors'!$G$15</f>
        <v>12330246.040000003</v>
      </c>
      <c r="M38" s="192">
        <f t="shared" ref="M38:M41" si="8">J38+K38+L38</f>
        <v>96532815.820000008</v>
      </c>
      <c r="N38" s="194">
        <f>M38*'Other Factors'!$B$8</f>
        <v>3668247001.1600003</v>
      </c>
      <c r="O38" s="193">
        <f>(('Trip Calculation'!F81*'Other Factors'!$E$17)+('Trip Calculation'!G81*'Other Factors'!$F$17)+('Trip Calculation'!H81*'Other Factors'!$G$17))/60</f>
        <v>861848.71214166679</v>
      </c>
      <c r="P38" s="190">
        <f t="shared" ref="P38:P41" si="9">M38-F38</f>
        <v>59283105.820000015</v>
      </c>
      <c r="Q38" s="194">
        <f t="shared" ref="Q38:Q41" si="10">N38-G38</f>
        <v>2252758021.1600008</v>
      </c>
      <c r="R38" s="195">
        <f t="shared" ref="R38:R41" si="11">O38-H38</f>
        <v>283086.74603055569</v>
      </c>
    </row>
    <row r="39" spans="1:18" x14ac:dyDescent="0.25">
      <c r="A39" s="5">
        <v>2049</v>
      </c>
      <c r="B39" s="184">
        <f>'Trip Calculation'!E38</f>
        <v>319739.99999999994</v>
      </c>
      <c r="C39" s="185">
        <f>'Trip Calculation'!F38*'Other Factors'!$B$15</f>
        <v>8952719.9999999981</v>
      </c>
      <c r="D39" s="185">
        <f>'Trip Calculation'!G38*'Other Factors'!$C$15</f>
        <v>17985374.999999996</v>
      </c>
      <c r="E39" s="186">
        <f>'Trip Calculation'!H38*'Other Factors'!$D$15</f>
        <v>10311615.000000002</v>
      </c>
      <c r="F39" s="187">
        <f t="shared" si="7"/>
        <v>37249709.999999993</v>
      </c>
      <c r="G39" s="194">
        <f>F39*'Other Factors'!$B$8</f>
        <v>1415488979.9999998</v>
      </c>
      <c r="H39" s="189">
        <f>(('Trip Calculation'!F38*'Other Factors'!$B$17)+('Trip Calculation'!G38*'Other Factors'!$C$17)+('Trip Calculation'!H38*'Other Factors'!$D$17))/60</f>
        <v>578761.96611111111</v>
      </c>
      <c r="I39" s="190">
        <f>'Trip Calculation'!E82</f>
        <v>289072.7</v>
      </c>
      <c r="J39" s="194">
        <f>'Trip Calculation'!F82*'Other Factors'!$E$15</f>
        <v>23114803.950000003</v>
      </c>
      <c r="K39" s="194">
        <f>'Trip Calculation'!F82*'Other Factors'!$F$15</f>
        <v>61087765.829999998</v>
      </c>
      <c r="L39" s="191">
        <f>'Trip Calculation'!H82*'Other Factors'!$G$15</f>
        <v>12330246.040000003</v>
      </c>
      <c r="M39" s="192">
        <f t="shared" si="8"/>
        <v>96532815.820000008</v>
      </c>
      <c r="N39" s="194">
        <f>M39*'Other Factors'!$B$8</f>
        <v>3668247001.1600003</v>
      </c>
      <c r="O39" s="193">
        <f>(('Trip Calculation'!F82*'Other Factors'!$E$17)+('Trip Calculation'!G82*'Other Factors'!$F$17)+('Trip Calculation'!H82*'Other Factors'!$G$17))/60</f>
        <v>861848.71214166679</v>
      </c>
      <c r="P39" s="190">
        <f t="shared" si="9"/>
        <v>59283105.820000015</v>
      </c>
      <c r="Q39" s="194">
        <f t="shared" si="10"/>
        <v>2252758021.1600008</v>
      </c>
      <c r="R39" s="195">
        <f t="shared" si="11"/>
        <v>283086.74603055569</v>
      </c>
    </row>
    <row r="40" spans="1:18" x14ac:dyDescent="0.25">
      <c r="A40" s="5">
        <v>2050</v>
      </c>
      <c r="B40" s="184">
        <f>'Trip Calculation'!E39</f>
        <v>319739.99999999994</v>
      </c>
      <c r="C40" s="185">
        <f>'Trip Calculation'!F39*'Other Factors'!$B$15</f>
        <v>8952719.9999999981</v>
      </c>
      <c r="D40" s="185">
        <f>'Trip Calculation'!G39*'Other Factors'!$C$15</f>
        <v>17985374.999999996</v>
      </c>
      <c r="E40" s="186">
        <f>'Trip Calculation'!H39*'Other Factors'!$D$15</f>
        <v>10311615.000000002</v>
      </c>
      <c r="F40" s="187">
        <f t="shared" si="7"/>
        <v>37249709.999999993</v>
      </c>
      <c r="G40" s="194">
        <f>F40*'Other Factors'!$B$8</f>
        <v>1415488979.9999998</v>
      </c>
      <c r="H40" s="189">
        <f>(('Trip Calculation'!F39*'Other Factors'!$B$17)+('Trip Calculation'!G39*'Other Factors'!$C$17)+('Trip Calculation'!H39*'Other Factors'!$D$17))/60</f>
        <v>578761.96611111111</v>
      </c>
      <c r="I40" s="190">
        <f>'Trip Calculation'!E83</f>
        <v>289072.7</v>
      </c>
      <c r="J40" s="194">
        <f>'Trip Calculation'!F83*'Other Factors'!$E$15</f>
        <v>23114803.950000003</v>
      </c>
      <c r="K40" s="194">
        <f>'Trip Calculation'!F83*'Other Factors'!$F$15</f>
        <v>61087765.829999998</v>
      </c>
      <c r="L40" s="191">
        <f>'Trip Calculation'!H83*'Other Factors'!$G$15</f>
        <v>12330246.040000003</v>
      </c>
      <c r="M40" s="192">
        <f t="shared" si="8"/>
        <v>96532815.820000008</v>
      </c>
      <c r="N40" s="194">
        <f>M40*'Other Factors'!$B$8</f>
        <v>3668247001.1600003</v>
      </c>
      <c r="O40" s="193">
        <f>(('Trip Calculation'!F83*'Other Factors'!$E$17)+('Trip Calculation'!G83*'Other Factors'!$F$17)+('Trip Calculation'!H83*'Other Factors'!$G$17))/60</f>
        <v>861848.71214166679</v>
      </c>
      <c r="P40" s="190">
        <f t="shared" si="9"/>
        <v>59283105.820000015</v>
      </c>
      <c r="Q40" s="194">
        <f t="shared" si="10"/>
        <v>2252758021.1600008</v>
      </c>
      <c r="R40" s="195">
        <f t="shared" si="11"/>
        <v>283086.74603055569</v>
      </c>
    </row>
    <row r="41" spans="1:18" x14ac:dyDescent="0.25">
      <c r="A41" s="5">
        <v>2051</v>
      </c>
      <c r="B41" s="184">
        <f>'Trip Calculation'!E40</f>
        <v>319739.99999999994</v>
      </c>
      <c r="C41" s="185">
        <f>'Trip Calculation'!F40*'Other Factors'!$B$15</f>
        <v>8952719.9999999981</v>
      </c>
      <c r="D41" s="185">
        <f>'Trip Calculation'!G40*'Other Factors'!$C$15</f>
        <v>17985374.999999996</v>
      </c>
      <c r="E41" s="186">
        <f>'Trip Calculation'!H40*'Other Factors'!$D$15</f>
        <v>10311615.000000002</v>
      </c>
      <c r="F41" s="187">
        <f t="shared" si="7"/>
        <v>37249709.999999993</v>
      </c>
      <c r="G41" s="441">
        <f>F41*'Other Factors'!$B$8</f>
        <v>1415488979.9999998</v>
      </c>
      <c r="H41" s="189">
        <f>(('Trip Calculation'!F40*'Other Factors'!$B$17)+('Trip Calculation'!G40*'Other Factors'!$C$17)+('Trip Calculation'!H40*'Other Factors'!$D$17))/60</f>
        <v>578761.96611111111</v>
      </c>
      <c r="I41" s="190">
        <f>'Trip Calculation'!E84</f>
        <v>289072.7</v>
      </c>
      <c r="J41" s="194">
        <f>'Trip Calculation'!F84*'Other Factors'!$E$15</f>
        <v>23114803.950000003</v>
      </c>
      <c r="K41" s="194">
        <f>'Trip Calculation'!F84*'Other Factors'!$F$15</f>
        <v>61087765.829999998</v>
      </c>
      <c r="L41" s="191">
        <f>'Trip Calculation'!H84*'Other Factors'!$G$15</f>
        <v>12330246.040000003</v>
      </c>
      <c r="M41" s="192">
        <f t="shared" si="8"/>
        <v>96532815.820000008</v>
      </c>
      <c r="N41" s="194">
        <f>M41*'Other Factors'!$B$8</f>
        <v>3668247001.1600003</v>
      </c>
      <c r="O41" s="193">
        <f>(('Trip Calculation'!F84*'Other Factors'!$E$17)+('Trip Calculation'!G84*'Other Factors'!$F$17)+('Trip Calculation'!H84*'Other Factors'!$G$17))/60</f>
        <v>861848.71214166679</v>
      </c>
      <c r="P41" s="190">
        <f t="shared" si="9"/>
        <v>59283105.820000015</v>
      </c>
      <c r="Q41" s="194">
        <f t="shared" si="10"/>
        <v>2252758021.1600008</v>
      </c>
      <c r="R41" s="195">
        <f t="shared" si="11"/>
        <v>283086.74603055569</v>
      </c>
    </row>
    <row r="42" spans="1:18" ht="15.75" thickBot="1" x14ac:dyDescent="0.3">
      <c r="A42" s="6" t="s">
        <v>2</v>
      </c>
      <c r="B42" s="17">
        <f t="shared" ref="B42:R42" si="12">SUM(B4:B41)</f>
        <v>7831439.9999999991</v>
      </c>
      <c r="C42" s="8">
        <f t="shared" si="12"/>
        <v>219280319.99999997</v>
      </c>
      <c r="D42" s="8">
        <f t="shared" si="12"/>
        <v>440518500</v>
      </c>
      <c r="E42" s="8">
        <f t="shared" si="12"/>
        <v>252563940</v>
      </c>
      <c r="F42" s="8">
        <f t="shared" si="12"/>
        <v>912362760</v>
      </c>
      <c r="G42" s="19">
        <f t="shared" si="12"/>
        <v>34669784880</v>
      </c>
      <c r="H42" s="14">
        <f t="shared" si="12"/>
        <v>14175704.046666663</v>
      </c>
      <c r="I42" s="7">
        <f t="shared" si="12"/>
        <v>7080301.200000003</v>
      </c>
      <c r="J42" s="14">
        <f t="shared" si="12"/>
        <v>566154376.19999993</v>
      </c>
      <c r="K42" s="14">
        <f t="shared" si="12"/>
        <v>1496231853.4799998</v>
      </c>
      <c r="L42" s="14">
        <f t="shared" si="12"/>
        <v>302006574.24000001</v>
      </c>
      <c r="M42" s="14">
        <f t="shared" si="12"/>
        <v>2364392803.9200001</v>
      </c>
      <c r="N42" s="14">
        <f t="shared" si="12"/>
        <v>89846926548.960052</v>
      </c>
      <c r="O42" s="14">
        <f t="shared" si="12"/>
        <v>21109390.3741</v>
      </c>
      <c r="P42" s="7">
        <f t="shared" si="12"/>
        <v>1452030043.9200001</v>
      </c>
      <c r="Q42" s="14">
        <f t="shared" si="12"/>
        <v>55177141668.960037</v>
      </c>
      <c r="R42" s="217">
        <f t="shared" si="12"/>
        <v>6933686.3274333384</v>
      </c>
    </row>
    <row r="43" spans="1:18" x14ac:dyDescent="0.25">
      <c r="B43" s="196"/>
      <c r="F43" s="196"/>
      <c r="I43" s="196"/>
      <c r="J43" s="196"/>
      <c r="M43" s="196"/>
      <c r="N43" s="196"/>
      <c r="P43" s="196"/>
      <c r="Q43" s="196"/>
      <c r="R43" s="196"/>
    </row>
    <row r="44" spans="1:18" ht="27" customHeight="1" thickBot="1" x14ac:dyDescent="0.4">
      <c r="A44" s="183" t="s">
        <v>127</v>
      </c>
      <c r="M44" s="196"/>
    </row>
    <row r="45" spans="1:18" x14ac:dyDescent="0.25">
      <c r="A45" s="501" t="s">
        <v>86</v>
      </c>
      <c r="B45" s="495" t="s">
        <v>128</v>
      </c>
      <c r="C45" s="496"/>
      <c r="D45" s="496"/>
      <c r="E45" s="496"/>
      <c r="F45" s="496"/>
      <c r="G45" s="496"/>
      <c r="H45" s="497"/>
      <c r="I45" s="495" t="s">
        <v>129</v>
      </c>
      <c r="J45" s="496"/>
      <c r="K45" s="496"/>
      <c r="L45" s="496"/>
      <c r="M45" s="496"/>
      <c r="N45" s="496"/>
      <c r="O45" s="497"/>
      <c r="P45" s="495" t="s">
        <v>85</v>
      </c>
      <c r="Q45" s="496"/>
      <c r="R45" s="497"/>
    </row>
    <row r="46" spans="1:18" ht="48.75" customHeight="1" x14ac:dyDescent="0.25">
      <c r="A46" s="502"/>
      <c r="B46" s="161" t="s">
        <v>268</v>
      </c>
      <c r="C46" s="15" t="s">
        <v>181</v>
      </c>
      <c r="D46" s="15" t="s">
        <v>182</v>
      </c>
      <c r="E46" s="162" t="s">
        <v>183</v>
      </c>
      <c r="F46" s="15" t="s">
        <v>267</v>
      </c>
      <c r="G46" s="162" t="s">
        <v>266</v>
      </c>
      <c r="H46" s="164" t="s">
        <v>282</v>
      </c>
      <c r="I46" s="161" t="s">
        <v>265</v>
      </c>
      <c r="J46" s="15" t="s">
        <v>184</v>
      </c>
      <c r="K46" s="15" t="s">
        <v>185</v>
      </c>
      <c r="L46" s="162" t="s">
        <v>186</v>
      </c>
      <c r="M46" s="162" t="s">
        <v>264</v>
      </c>
      <c r="N46" s="163" t="s">
        <v>263</v>
      </c>
      <c r="O46" s="164" t="s">
        <v>283</v>
      </c>
      <c r="P46" s="161" t="s">
        <v>130</v>
      </c>
      <c r="Q46" s="162" t="s">
        <v>131</v>
      </c>
      <c r="R46" s="165" t="s">
        <v>284</v>
      </c>
    </row>
    <row r="47" spans="1:18" x14ac:dyDescent="0.25">
      <c r="A47" s="5">
        <v>2014</v>
      </c>
      <c r="B47" s="184">
        <f>'Trip Calculation'!I3</f>
        <v>0</v>
      </c>
      <c r="C47" s="186">
        <f>'Trip Calculation'!J3*'Other Factors'!$B$21</f>
        <v>0</v>
      </c>
      <c r="D47" s="186">
        <f>'Trip Calculation'!K3*'Other Factors'!$C$21</f>
        <v>0</v>
      </c>
      <c r="E47" s="186">
        <f>'Trip Calculation'!L3*'Other Factors'!$D$21</f>
        <v>0</v>
      </c>
      <c r="F47" s="185">
        <f>C47+D47+E47</f>
        <v>0</v>
      </c>
      <c r="G47" s="194">
        <f>F47*'Other Factors'!$B$9*'Other Factors'!$B$5</f>
        <v>0</v>
      </c>
      <c r="H47" s="189">
        <f>(('Trip Calculation'!J3*'Other Factors'!$B$23)+('Trip Calculation'!K3*'Other Factors'!$C$23)+('Trip Calculation'!L3*'Other Factors'!$D$23))/60</f>
        <v>0</v>
      </c>
      <c r="I47" s="184">
        <f>'Trip Calculation'!I47</f>
        <v>0</v>
      </c>
      <c r="J47" s="191">
        <f>'Trip Calculation'!J47*'Other Factors'!$E$21</f>
        <v>0</v>
      </c>
      <c r="K47" s="197">
        <f>'Trip Calculation'!K47*'Other Factors'!$F$21</f>
        <v>0</v>
      </c>
      <c r="L47" s="191">
        <f>'Trip Calculation'!L47*'Other Factors'!$G$21</f>
        <v>0</v>
      </c>
      <c r="M47" s="192">
        <f>J47+K47+L47</f>
        <v>0</v>
      </c>
      <c r="N47" s="188">
        <f>M47*'Other Factors'!$B$9*'Other Factors'!$B$5</f>
        <v>0</v>
      </c>
      <c r="O47" s="193">
        <f>(('Trip Calculation'!J47*'Other Factors'!$E$23)+('Trip Calculation'!K47*'Other Factors'!$F$23)+('Trip Calculation'!L47*'Other Factors'!$G$23))/60</f>
        <v>0</v>
      </c>
      <c r="P47" s="184">
        <f t="shared" ref="P47:R48" si="13">M47-F47</f>
        <v>0</v>
      </c>
      <c r="Q47" s="194">
        <f t="shared" si="13"/>
        <v>0</v>
      </c>
      <c r="R47" s="195">
        <f t="shared" si="13"/>
        <v>0</v>
      </c>
    </row>
    <row r="48" spans="1:18" x14ac:dyDescent="0.25">
      <c r="A48" s="5">
        <v>2015</v>
      </c>
      <c r="B48" s="184">
        <f>'Trip Calculation'!I4</f>
        <v>0</v>
      </c>
      <c r="C48" s="186">
        <f>'Trip Calculation'!J4*'Other Factors'!$B$21</f>
        <v>0</v>
      </c>
      <c r="D48" s="186">
        <f>'Trip Calculation'!K4*'Other Factors'!$C$21</f>
        <v>0</v>
      </c>
      <c r="E48" s="186">
        <f>'Trip Calculation'!L4*'Other Factors'!$D$21</f>
        <v>0</v>
      </c>
      <c r="F48" s="185">
        <f>C48+D48+E48</f>
        <v>0</v>
      </c>
      <c r="G48" s="194">
        <f>F48*'Other Factors'!$B$9*'Other Factors'!$B$5</f>
        <v>0</v>
      </c>
      <c r="H48" s="189">
        <f>(('Trip Calculation'!J4*'Other Factors'!$B$23)+('Trip Calculation'!K4*'Other Factors'!$C$23)+('Trip Calculation'!L4*'Other Factors'!$D$23))/60</f>
        <v>0</v>
      </c>
      <c r="I48" s="184">
        <f>'Trip Calculation'!I48</f>
        <v>0</v>
      </c>
      <c r="J48" s="191">
        <f>'Trip Calculation'!J48*'Other Factors'!$E$21</f>
        <v>0</v>
      </c>
      <c r="K48" s="186">
        <f>'Trip Calculation'!K48*'Other Factors'!$F$21</f>
        <v>0</v>
      </c>
      <c r="L48" s="191">
        <f>'Trip Calculation'!L48*'Other Factors'!$G$21</f>
        <v>0</v>
      </c>
      <c r="M48" s="192">
        <f>J48+K48+L48</f>
        <v>0</v>
      </c>
      <c r="N48" s="194">
        <f>M48*'Other Factors'!$B$9*'Other Factors'!$B$5</f>
        <v>0</v>
      </c>
      <c r="O48" s="193">
        <f>(('Trip Calculation'!J48*'Other Factors'!$E$23)+('Trip Calculation'!K48*'Other Factors'!$F$23)+('Trip Calculation'!L48*'Other Factors'!$G$23))/60</f>
        <v>0</v>
      </c>
      <c r="P48" s="184">
        <f t="shared" si="13"/>
        <v>0</v>
      </c>
      <c r="Q48" s="194">
        <f t="shared" si="13"/>
        <v>0</v>
      </c>
      <c r="R48" s="195">
        <f t="shared" si="13"/>
        <v>0</v>
      </c>
    </row>
    <row r="49" spans="1:18" x14ac:dyDescent="0.25">
      <c r="A49" s="5">
        <v>2016</v>
      </c>
      <c r="B49" s="184">
        <f>'Trip Calculation'!I5</f>
        <v>0</v>
      </c>
      <c r="C49" s="186">
        <f>'Trip Calculation'!J5*'Other Factors'!$B$21</f>
        <v>0</v>
      </c>
      <c r="D49" s="186">
        <f>'Trip Calculation'!K5*'Other Factors'!$C$21</f>
        <v>0</v>
      </c>
      <c r="E49" s="186">
        <f>'Trip Calculation'!L5*'Other Factors'!$D$21</f>
        <v>0</v>
      </c>
      <c r="F49" s="185">
        <f t="shared" ref="F49:F80" si="14">C49+D49+E49</f>
        <v>0</v>
      </c>
      <c r="G49" s="194">
        <f>F49*'Other Factors'!$B$9*'Other Factors'!$B$5</f>
        <v>0</v>
      </c>
      <c r="H49" s="189">
        <f>(('Trip Calculation'!J5*'Other Factors'!$B$23)+('Trip Calculation'!K5*'Other Factors'!$C$23)+('Trip Calculation'!L5*'Other Factors'!$D$23))/60</f>
        <v>0</v>
      </c>
      <c r="I49" s="184">
        <f>'Trip Calculation'!I49</f>
        <v>0</v>
      </c>
      <c r="J49" s="191">
        <f>'Trip Calculation'!J49*'Other Factors'!$E$21</f>
        <v>0</v>
      </c>
      <c r="K49" s="186">
        <f>'Trip Calculation'!K49*'Other Factors'!$F$21</f>
        <v>0</v>
      </c>
      <c r="L49" s="191">
        <f>'Trip Calculation'!L49*'Other Factors'!$G$21</f>
        <v>0</v>
      </c>
      <c r="M49" s="192">
        <f t="shared" ref="M49:M80" si="15">J49+K49+L49</f>
        <v>0</v>
      </c>
      <c r="N49" s="194">
        <f>M49*'Other Factors'!$B$9*'Other Factors'!$B$5</f>
        <v>0</v>
      </c>
      <c r="O49" s="193">
        <f>(('Trip Calculation'!J49*'Other Factors'!$E$23)+('Trip Calculation'!K49*'Other Factors'!$F$23)+('Trip Calculation'!L49*'Other Factors'!$G$23))/60</f>
        <v>0</v>
      </c>
      <c r="P49" s="184">
        <f t="shared" ref="P49:P80" si="16">M49-F49</f>
        <v>0</v>
      </c>
      <c r="Q49" s="194">
        <f t="shared" ref="Q49:Q80" si="17">N49-G49</f>
        <v>0</v>
      </c>
      <c r="R49" s="195">
        <f t="shared" ref="R49:R80" si="18">O49-H49</f>
        <v>0</v>
      </c>
    </row>
    <row r="50" spans="1:18" x14ac:dyDescent="0.25">
      <c r="A50" s="5">
        <v>2017</v>
      </c>
      <c r="B50" s="184">
        <f>'Trip Calculation'!I6</f>
        <v>0</v>
      </c>
      <c r="C50" s="186">
        <f>'Trip Calculation'!J6*'Other Factors'!$B$21</f>
        <v>0</v>
      </c>
      <c r="D50" s="186">
        <f>'Trip Calculation'!K6*'Other Factors'!$C$21</f>
        <v>0</v>
      </c>
      <c r="E50" s="186">
        <f>'Trip Calculation'!L6*'Other Factors'!$D$21</f>
        <v>0</v>
      </c>
      <c r="F50" s="185">
        <f t="shared" si="14"/>
        <v>0</v>
      </c>
      <c r="G50" s="194">
        <f>F50*'Other Factors'!$B$9*'Other Factors'!$B$5</f>
        <v>0</v>
      </c>
      <c r="H50" s="189">
        <f>(('Trip Calculation'!J6*'Other Factors'!$B$23)+('Trip Calculation'!K6*'Other Factors'!$C$23)+('Trip Calculation'!L6*'Other Factors'!$D$23))/60</f>
        <v>0</v>
      </c>
      <c r="I50" s="184">
        <f>'Trip Calculation'!I50</f>
        <v>0</v>
      </c>
      <c r="J50" s="191">
        <f>'Trip Calculation'!J50*'Other Factors'!$E$21</f>
        <v>0</v>
      </c>
      <c r="K50" s="186">
        <f>'Trip Calculation'!K50*'Other Factors'!$F$21</f>
        <v>0</v>
      </c>
      <c r="L50" s="191">
        <f>'Trip Calculation'!L50*'Other Factors'!$G$21</f>
        <v>0</v>
      </c>
      <c r="M50" s="192">
        <f t="shared" si="15"/>
        <v>0</v>
      </c>
      <c r="N50" s="194">
        <f>M50*'Other Factors'!$B$9*'Other Factors'!$B$5</f>
        <v>0</v>
      </c>
      <c r="O50" s="193">
        <f>(('Trip Calculation'!J50*'Other Factors'!$E$23)+('Trip Calculation'!K50*'Other Factors'!$F$23)+('Trip Calculation'!L50*'Other Factors'!$G$23))/60</f>
        <v>0</v>
      </c>
      <c r="P50" s="184">
        <f t="shared" si="16"/>
        <v>0</v>
      </c>
      <c r="Q50" s="194">
        <f t="shared" si="17"/>
        <v>0</v>
      </c>
      <c r="R50" s="195">
        <f t="shared" si="18"/>
        <v>0</v>
      </c>
    </row>
    <row r="51" spans="1:18" x14ac:dyDescent="0.25">
      <c r="A51" s="5">
        <v>2018</v>
      </c>
      <c r="B51" s="184">
        <f>'Trip Calculation'!I7</f>
        <v>0</v>
      </c>
      <c r="C51" s="186">
        <f>'Trip Calculation'!J7*'Other Factors'!$B$21</f>
        <v>0</v>
      </c>
      <c r="D51" s="186">
        <f>'Trip Calculation'!K7*'Other Factors'!$C$21</f>
        <v>0</v>
      </c>
      <c r="E51" s="186">
        <f>'Trip Calculation'!L7*'Other Factors'!$D$21</f>
        <v>0</v>
      </c>
      <c r="F51" s="185">
        <f t="shared" si="14"/>
        <v>0</v>
      </c>
      <c r="G51" s="194">
        <f>F51*'Other Factors'!$B$9*'Other Factors'!$B$5</f>
        <v>0</v>
      </c>
      <c r="H51" s="189">
        <f>(('Trip Calculation'!J7*'Other Factors'!$B$23)+('Trip Calculation'!K7*'Other Factors'!$C$23)+('Trip Calculation'!L7*'Other Factors'!$D$23))/60</f>
        <v>0</v>
      </c>
      <c r="I51" s="184">
        <f>'Trip Calculation'!I51</f>
        <v>0</v>
      </c>
      <c r="J51" s="191">
        <f>'Trip Calculation'!J51*'Other Factors'!$E$21</f>
        <v>0</v>
      </c>
      <c r="K51" s="186">
        <f>'Trip Calculation'!K51*'Other Factors'!$F$21</f>
        <v>0</v>
      </c>
      <c r="L51" s="191">
        <f>'Trip Calculation'!L51*'Other Factors'!$G$21</f>
        <v>0</v>
      </c>
      <c r="M51" s="192">
        <f t="shared" si="15"/>
        <v>0</v>
      </c>
      <c r="N51" s="194">
        <f>M51*'Other Factors'!$B$9*'Other Factors'!$B$5</f>
        <v>0</v>
      </c>
      <c r="O51" s="193">
        <f>(('Trip Calculation'!J51*'Other Factors'!$E$23)+('Trip Calculation'!K51*'Other Factors'!$F$23)+('Trip Calculation'!L51*'Other Factors'!$G$23))/60</f>
        <v>0</v>
      </c>
      <c r="P51" s="184">
        <f t="shared" si="16"/>
        <v>0</v>
      </c>
      <c r="Q51" s="194">
        <f t="shared" si="17"/>
        <v>0</v>
      </c>
      <c r="R51" s="195">
        <f t="shared" si="18"/>
        <v>0</v>
      </c>
    </row>
    <row r="52" spans="1:18" x14ac:dyDescent="0.25">
      <c r="A52" s="5">
        <v>2019</v>
      </c>
      <c r="B52" s="184">
        <f>'Trip Calculation'!I8</f>
        <v>0</v>
      </c>
      <c r="C52" s="186">
        <f>'Trip Calculation'!J8*'Other Factors'!$B$21</f>
        <v>0</v>
      </c>
      <c r="D52" s="186">
        <f>'Trip Calculation'!K8*'Other Factors'!$C$21</f>
        <v>0</v>
      </c>
      <c r="E52" s="186">
        <f>'Trip Calculation'!L8*'Other Factors'!$D$21</f>
        <v>0</v>
      </c>
      <c r="F52" s="185">
        <f t="shared" si="14"/>
        <v>0</v>
      </c>
      <c r="G52" s="194">
        <f>F52*'Other Factors'!$B$9*'Other Factors'!$B$5</f>
        <v>0</v>
      </c>
      <c r="H52" s="189">
        <f>(('Trip Calculation'!J8*'Other Factors'!$B$23)+('Trip Calculation'!K8*'Other Factors'!$C$23)+('Trip Calculation'!L8*'Other Factors'!$D$23))/60</f>
        <v>0</v>
      </c>
      <c r="I52" s="184">
        <f>'Trip Calculation'!I52</f>
        <v>0</v>
      </c>
      <c r="J52" s="191">
        <f>'Trip Calculation'!J52*'Other Factors'!$E$21</f>
        <v>0</v>
      </c>
      <c r="K52" s="186">
        <f>'Trip Calculation'!K52*'Other Factors'!$F$21</f>
        <v>0</v>
      </c>
      <c r="L52" s="191">
        <f>'Trip Calculation'!L52*'Other Factors'!$G$21</f>
        <v>0</v>
      </c>
      <c r="M52" s="192">
        <f t="shared" si="15"/>
        <v>0</v>
      </c>
      <c r="N52" s="194">
        <f>M52*'Other Factors'!$B$9*'Other Factors'!$B$5</f>
        <v>0</v>
      </c>
      <c r="O52" s="193">
        <f>(('Trip Calculation'!J52*'Other Factors'!$E$23)+('Trip Calculation'!K52*'Other Factors'!$F$23)+('Trip Calculation'!L52*'Other Factors'!$G$23))/60</f>
        <v>0</v>
      </c>
      <c r="P52" s="184">
        <f t="shared" si="16"/>
        <v>0</v>
      </c>
      <c r="Q52" s="194">
        <f t="shared" si="17"/>
        <v>0</v>
      </c>
      <c r="R52" s="195">
        <f t="shared" si="18"/>
        <v>0</v>
      </c>
    </row>
    <row r="53" spans="1:18" x14ac:dyDescent="0.25">
      <c r="A53" s="5">
        <v>2020</v>
      </c>
      <c r="B53" s="184">
        <f>'Trip Calculation'!I9</f>
        <v>0</v>
      </c>
      <c r="C53" s="186">
        <f>'Trip Calculation'!J9*'Other Factors'!$B$21</f>
        <v>0</v>
      </c>
      <c r="D53" s="186">
        <f>'Trip Calculation'!K9*'Other Factors'!$C$21</f>
        <v>0</v>
      </c>
      <c r="E53" s="186">
        <f>'Trip Calculation'!L9*'Other Factors'!$D$21</f>
        <v>0</v>
      </c>
      <c r="F53" s="185">
        <f t="shared" si="14"/>
        <v>0</v>
      </c>
      <c r="G53" s="194">
        <f>F53*'Other Factors'!$B$9*'Other Factors'!$B$5</f>
        <v>0</v>
      </c>
      <c r="H53" s="189">
        <f>(('Trip Calculation'!J9*'Other Factors'!$B$23)+('Trip Calculation'!K9*'Other Factors'!$C$23)+('Trip Calculation'!L9*'Other Factors'!$D$23))/60</f>
        <v>0</v>
      </c>
      <c r="I53" s="184">
        <f>'Trip Calculation'!I53</f>
        <v>0</v>
      </c>
      <c r="J53" s="191">
        <f>'Trip Calculation'!J53*'Other Factors'!$E$21</f>
        <v>0</v>
      </c>
      <c r="K53" s="186">
        <f>'Trip Calculation'!K53*'Other Factors'!$F$21</f>
        <v>0</v>
      </c>
      <c r="L53" s="191">
        <f>'Trip Calculation'!L53*'Other Factors'!$G$21</f>
        <v>0</v>
      </c>
      <c r="M53" s="192">
        <f t="shared" si="15"/>
        <v>0</v>
      </c>
      <c r="N53" s="194">
        <f>M53*'Other Factors'!$B$9*'Other Factors'!$B$5</f>
        <v>0</v>
      </c>
      <c r="O53" s="193">
        <f>(('Trip Calculation'!J53*'Other Factors'!$E$23)+('Trip Calculation'!K53*'Other Factors'!$F$23)+('Trip Calculation'!L53*'Other Factors'!$G$23))/60</f>
        <v>0</v>
      </c>
      <c r="P53" s="184">
        <f t="shared" si="16"/>
        <v>0</v>
      </c>
      <c r="Q53" s="194">
        <f t="shared" si="17"/>
        <v>0</v>
      </c>
      <c r="R53" s="195">
        <f t="shared" si="18"/>
        <v>0</v>
      </c>
    </row>
    <row r="54" spans="1:18" x14ac:dyDescent="0.25">
      <c r="A54" s="5">
        <v>2021</v>
      </c>
      <c r="B54" s="184">
        <f>'Trip Calculation'!I10</f>
        <v>0</v>
      </c>
      <c r="C54" s="186">
        <f>'Trip Calculation'!J10*'Other Factors'!$B$21</f>
        <v>0</v>
      </c>
      <c r="D54" s="186">
        <f>'Trip Calculation'!K10*'Other Factors'!$C$21</f>
        <v>0</v>
      </c>
      <c r="E54" s="186">
        <f>'Trip Calculation'!L10*'Other Factors'!$D$21</f>
        <v>0</v>
      </c>
      <c r="F54" s="185">
        <f t="shared" si="14"/>
        <v>0</v>
      </c>
      <c r="G54" s="194">
        <f>F54*'Other Factors'!$B$9*'Other Factors'!$B$5</f>
        <v>0</v>
      </c>
      <c r="H54" s="189">
        <f>(('Trip Calculation'!J10*'Other Factors'!$B$23)+('Trip Calculation'!K10*'Other Factors'!$C$23)+('Trip Calculation'!L10*'Other Factors'!$D$23))/60</f>
        <v>0</v>
      </c>
      <c r="I54" s="184">
        <f>'Trip Calculation'!I54</f>
        <v>0</v>
      </c>
      <c r="J54" s="191">
        <f>'Trip Calculation'!J54*'Other Factors'!$E$21</f>
        <v>0</v>
      </c>
      <c r="K54" s="186">
        <f>'Trip Calculation'!K54*'Other Factors'!$F$21</f>
        <v>0</v>
      </c>
      <c r="L54" s="191">
        <f>'Trip Calculation'!L54*'Other Factors'!$G$21</f>
        <v>0</v>
      </c>
      <c r="M54" s="192">
        <f t="shared" si="15"/>
        <v>0</v>
      </c>
      <c r="N54" s="194">
        <f>M54*'Other Factors'!$B$9*'Other Factors'!$B$5</f>
        <v>0</v>
      </c>
      <c r="O54" s="193">
        <f>(('Trip Calculation'!J54*'Other Factors'!$E$23)+('Trip Calculation'!K54*'Other Factors'!$F$23)+('Trip Calculation'!L54*'Other Factors'!$G$23))/60</f>
        <v>0</v>
      </c>
      <c r="P54" s="184">
        <f t="shared" si="16"/>
        <v>0</v>
      </c>
      <c r="Q54" s="194">
        <f t="shared" si="17"/>
        <v>0</v>
      </c>
      <c r="R54" s="195">
        <f t="shared" si="18"/>
        <v>0</v>
      </c>
    </row>
    <row r="55" spans="1:18" x14ac:dyDescent="0.25">
      <c r="A55" s="5">
        <v>2022</v>
      </c>
      <c r="B55" s="184">
        <f>'Trip Calculation'!I11</f>
        <v>13.691666666666665</v>
      </c>
      <c r="C55" s="186">
        <f>'Trip Calculation'!J11*'Other Factors'!$B$21</f>
        <v>0</v>
      </c>
      <c r="D55" s="186">
        <f>'Trip Calculation'!K11*'Other Factors'!$C$21</f>
        <v>0</v>
      </c>
      <c r="E55" s="186">
        <f>'Trip Calculation'!L11*'Other Factors'!$D$21</f>
        <v>8831.1249999999982</v>
      </c>
      <c r="F55" s="185">
        <f t="shared" si="14"/>
        <v>8831.1249999999982</v>
      </c>
      <c r="G55" s="194">
        <f>F55*'Other Factors'!$B$9*'Other Factors'!$B$5</f>
        <v>78380399.999999985</v>
      </c>
      <c r="H55" s="189">
        <f>(('Trip Calculation'!J11*'Other Factors'!$B$23)+('Trip Calculation'!K11*'Other Factors'!$C$23)+('Trip Calculation'!L11*'Other Factors'!$D$23))/60</f>
        <v>284.875</v>
      </c>
      <c r="I55" s="184">
        <f>'Trip Calculation'!I55</f>
        <v>22.968874999999997</v>
      </c>
      <c r="J55" s="191">
        <f>'Trip Calculation'!J55*'Other Factors'!$E$21</f>
        <v>18738.55843125</v>
      </c>
      <c r="K55" s="186">
        <f>'Trip Calculation'!K55*'Other Factors'!$F$21</f>
        <v>11969.718750000002</v>
      </c>
      <c r="L55" s="191">
        <f>'Trip Calculation'!L55*'Other Factors'!$G$21</f>
        <v>5899.9371437500004</v>
      </c>
      <c r="M55" s="192">
        <f t="shared" si="15"/>
        <v>36608.214325000001</v>
      </c>
      <c r="N55" s="194">
        <f>M55*'Other Factors'!$B$9*'Other Factors'!$B$5</f>
        <v>324915170.16000003</v>
      </c>
      <c r="O55" s="193">
        <f>(('Trip Calculation'!J55*'Other Factors'!$E$23)+('Trip Calculation'!K55*'Other Factors'!$F$23)+('Trip Calculation'!L55*'Other Factors'!$G$23))/60</f>
        <v>1180.910139516129</v>
      </c>
      <c r="P55" s="184">
        <f t="shared" si="16"/>
        <v>27777.089325000001</v>
      </c>
      <c r="Q55" s="194">
        <f t="shared" si="17"/>
        <v>246534770.16000003</v>
      </c>
      <c r="R55" s="195">
        <f>O55-H55</f>
        <v>896.03513951612899</v>
      </c>
    </row>
    <row r="56" spans="1:18" x14ac:dyDescent="0.25">
      <c r="A56" s="5">
        <v>2023</v>
      </c>
      <c r="B56" s="184">
        <f>'Trip Calculation'!I12</f>
        <v>27.383333333333329</v>
      </c>
      <c r="C56" s="186">
        <f>'Trip Calculation'!J12*'Other Factors'!$B$21</f>
        <v>0</v>
      </c>
      <c r="D56" s="186">
        <f>'Trip Calculation'!K12*'Other Factors'!$C$21</f>
        <v>0</v>
      </c>
      <c r="E56" s="186">
        <f>'Trip Calculation'!L12*'Other Factors'!$D$21</f>
        <v>17662.249999999996</v>
      </c>
      <c r="F56" s="185">
        <f t="shared" si="14"/>
        <v>17662.249999999996</v>
      </c>
      <c r="G56" s="194">
        <f>F56*'Other Factors'!$B$9*'Other Factors'!$B$5</f>
        <v>156760799.99999997</v>
      </c>
      <c r="H56" s="189">
        <f>(('Trip Calculation'!J12*'Other Factors'!$B$23)+('Trip Calculation'!K12*'Other Factors'!$C$23)+('Trip Calculation'!L12*'Other Factors'!$D$23))/60</f>
        <v>569.75</v>
      </c>
      <c r="I56" s="184">
        <f>'Trip Calculation'!I56</f>
        <v>45.937749999999994</v>
      </c>
      <c r="J56" s="191">
        <f>'Trip Calculation'!J56*'Other Factors'!$E$21</f>
        <v>37477.116862499999</v>
      </c>
      <c r="K56" s="186">
        <f>'Trip Calculation'!K56*'Other Factors'!$F$21</f>
        <v>23939.437500000004</v>
      </c>
      <c r="L56" s="191">
        <f>'Trip Calculation'!L56*'Other Factors'!$G$21</f>
        <v>11799.874287500001</v>
      </c>
      <c r="M56" s="192">
        <f t="shared" si="15"/>
        <v>73216.428650000002</v>
      </c>
      <c r="N56" s="194">
        <f>M56*'Other Factors'!$B$9*'Other Factors'!$B$5</f>
        <v>649830340.32000005</v>
      </c>
      <c r="O56" s="193">
        <f>(('Trip Calculation'!J56*'Other Factors'!$E$23)+('Trip Calculation'!K56*'Other Factors'!$F$23)+('Trip Calculation'!L56*'Other Factors'!$G$23))/60</f>
        <v>2361.820279032258</v>
      </c>
      <c r="P56" s="184">
        <f t="shared" si="16"/>
        <v>55554.178650000002</v>
      </c>
      <c r="Q56" s="194">
        <f t="shared" si="17"/>
        <v>493069540.32000005</v>
      </c>
      <c r="R56" s="195">
        <f t="shared" si="18"/>
        <v>1792.070279032258</v>
      </c>
    </row>
    <row r="57" spans="1:18" x14ac:dyDescent="0.25">
      <c r="A57" s="5">
        <v>2024</v>
      </c>
      <c r="B57" s="184">
        <f>'Trip Calculation'!I13</f>
        <v>41.074999999999996</v>
      </c>
      <c r="C57" s="186">
        <f>'Trip Calculation'!J13*'Other Factors'!$B$21</f>
        <v>0</v>
      </c>
      <c r="D57" s="186">
        <f>'Trip Calculation'!K13*'Other Factors'!$C$21</f>
        <v>0</v>
      </c>
      <c r="E57" s="186">
        <f>'Trip Calculation'!L13*'Other Factors'!$D$21</f>
        <v>26493.374999999996</v>
      </c>
      <c r="F57" s="185">
        <f t="shared" si="14"/>
        <v>26493.374999999996</v>
      </c>
      <c r="G57" s="194">
        <f>F57*'Other Factors'!$B$9*'Other Factors'!$B$5</f>
        <v>235141199.99999997</v>
      </c>
      <c r="H57" s="189">
        <f>(('Trip Calculation'!J13*'Other Factors'!$B$23)+('Trip Calculation'!K13*'Other Factors'!$C$23)+('Trip Calculation'!L13*'Other Factors'!$D$23))/60</f>
        <v>854.625</v>
      </c>
      <c r="I57" s="184">
        <f>'Trip Calculation'!I57</f>
        <v>68.906624999999977</v>
      </c>
      <c r="J57" s="191">
        <f>'Trip Calculation'!J57*'Other Factors'!$E$21</f>
        <v>56215.675293749991</v>
      </c>
      <c r="K57" s="186">
        <f>'Trip Calculation'!K57*'Other Factors'!$F$21</f>
        <v>35909.156249999993</v>
      </c>
      <c r="L57" s="191">
        <f>'Trip Calculation'!L57*'Other Factors'!$G$21</f>
        <v>17699.811431249993</v>
      </c>
      <c r="M57" s="192">
        <f t="shared" si="15"/>
        <v>109824.64297499998</v>
      </c>
      <c r="N57" s="194">
        <f>M57*'Other Factors'!$B$9*'Other Factors'!$B$5</f>
        <v>974745510.47999978</v>
      </c>
      <c r="O57" s="193">
        <f>(('Trip Calculation'!J57*'Other Factors'!$E$23)+('Trip Calculation'!K57*'Other Factors'!$F$23)+('Trip Calculation'!L57*'Other Factors'!$G$23))/60</f>
        <v>3542.7304185483858</v>
      </c>
      <c r="P57" s="184">
        <f t="shared" si="16"/>
        <v>83331.267974999981</v>
      </c>
      <c r="Q57" s="194">
        <f t="shared" si="17"/>
        <v>739604310.47999978</v>
      </c>
      <c r="R57" s="195">
        <f t="shared" si="18"/>
        <v>2688.1054185483858</v>
      </c>
    </row>
    <row r="58" spans="1:18" x14ac:dyDescent="0.25">
      <c r="A58" s="5">
        <v>2025</v>
      </c>
      <c r="B58" s="184">
        <f>'Trip Calculation'!I14</f>
        <v>54.766666666666659</v>
      </c>
      <c r="C58" s="186">
        <f>'Trip Calculation'!J14*'Other Factors'!$B$21</f>
        <v>0</v>
      </c>
      <c r="D58" s="186">
        <f>'Trip Calculation'!K14*'Other Factors'!$C$21</f>
        <v>0</v>
      </c>
      <c r="E58" s="186">
        <f>'Trip Calculation'!L14*'Other Factors'!$D$21</f>
        <v>35324.499999999993</v>
      </c>
      <c r="F58" s="185">
        <f t="shared" si="14"/>
        <v>35324.499999999993</v>
      </c>
      <c r="G58" s="194">
        <f>F58*'Other Factors'!$B$9*'Other Factors'!$B$5</f>
        <v>313521599.99999994</v>
      </c>
      <c r="H58" s="189">
        <f>(('Trip Calculation'!J14*'Other Factors'!$B$23)+('Trip Calculation'!K14*'Other Factors'!$C$23)+('Trip Calculation'!L14*'Other Factors'!$D$23))/60</f>
        <v>1139.5</v>
      </c>
      <c r="I58" s="184">
        <f>'Trip Calculation'!I58</f>
        <v>91.875499999999988</v>
      </c>
      <c r="J58" s="191">
        <f>'Trip Calculation'!J58*'Other Factors'!$E$21</f>
        <v>74954.233724999998</v>
      </c>
      <c r="K58" s="186">
        <f>'Trip Calculation'!K58*'Other Factors'!$F$21</f>
        <v>47878.875000000007</v>
      </c>
      <c r="L58" s="191">
        <f>'Trip Calculation'!L58*'Other Factors'!$G$21</f>
        <v>23599.748575000001</v>
      </c>
      <c r="M58" s="192">
        <f t="shared" si="15"/>
        <v>146432.8573</v>
      </c>
      <c r="N58" s="194">
        <f>M58*'Other Factors'!$B$9*'Other Factors'!$B$5</f>
        <v>1299660680.6400001</v>
      </c>
      <c r="O58" s="193">
        <f>(('Trip Calculation'!J58*'Other Factors'!$E$23)+('Trip Calculation'!K58*'Other Factors'!$F$23)+('Trip Calculation'!L58*'Other Factors'!$G$23))/60</f>
        <v>4723.640558064516</v>
      </c>
      <c r="P58" s="184">
        <f t="shared" si="16"/>
        <v>111108.3573</v>
      </c>
      <c r="Q58" s="194">
        <f t="shared" si="17"/>
        <v>986139080.6400001</v>
      </c>
      <c r="R58" s="195">
        <f t="shared" si="18"/>
        <v>3584.140558064516</v>
      </c>
    </row>
    <row r="59" spans="1:18" x14ac:dyDescent="0.25">
      <c r="A59" s="5">
        <v>2026</v>
      </c>
      <c r="B59" s="184">
        <f>'Trip Calculation'!I15</f>
        <v>68.458333333333329</v>
      </c>
      <c r="C59" s="186">
        <f>'Trip Calculation'!J15*'Other Factors'!$B$21</f>
        <v>0</v>
      </c>
      <c r="D59" s="186">
        <f>'Trip Calculation'!K15*'Other Factors'!$C$21</f>
        <v>0</v>
      </c>
      <c r="E59" s="186">
        <f>'Trip Calculation'!L15*'Other Factors'!$D$21</f>
        <v>44155.625</v>
      </c>
      <c r="F59" s="185">
        <f t="shared" si="14"/>
        <v>44155.625</v>
      </c>
      <c r="G59" s="194">
        <f>F59*'Other Factors'!$B$9*'Other Factors'!$B$5</f>
        <v>391902000</v>
      </c>
      <c r="H59" s="189">
        <f>(('Trip Calculation'!J15*'Other Factors'!$B$23)+('Trip Calculation'!K15*'Other Factors'!$C$23)+('Trip Calculation'!L15*'Other Factors'!$D$23))/60</f>
        <v>1424.375</v>
      </c>
      <c r="I59" s="184">
        <f>'Trip Calculation'!I59</f>
        <v>114.84437499999997</v>
      </c>
      <c r="J59" s="191">
        <f>'Trip Calculation'!J59*'Other Factors'!$E$21</f>
        <v>93692.792156249983</v>
      </c>
      <c r="K59" s="186">
        <f>'Trip Calculation'!K59*'Other Factors'!$F$21</f>
        <v>59848.593749999985</v>
      </c>
      <c r="L59" s="191">
        <f>'Trip Calculation'!L59*'Other Factors'!$G$21</f>
        <v>29499.685718749995</v>
      </c>
      <c r="M59" s="192">
        <f t="shared" si="15"/>
        <v>183041.07162499998</v>
      </c>
      <c r="N59" s="194">
        <f>M59*'Other Factors'!$B$9*'Other Factors'!$B$5</f>
        <v>1624575850.7999997</v>
      </c>
      <c r="O59" s="193">
        <f>(('Trip Calculation'!J59*'Other Factors'!$E$23)+('Trip Calculation'!K59*'Other Factors'!$F$23)+('Trip Calculation'!L59*'Other Factors'!$G$23))/60</f>
        <v>5904.5506975806438</v>
      </c>
      <c r="P59" s="184">
        <f t="shared" si="16"/>
        <v>138885.44662499998</v>
      </c>
      <c r="Q59" s="194">
        <f t="shared" si="17"/>
        <v>1232673850.7999997</v>
      </c>
      <c r="R59" s="195">
        <f t="shared" si="18"/>
        <v>4480.1756975806438</v>
      </c>
    </row>
    <row r="60" spans="1:18" x14ac:dyDescent="0.25">
      <c r="A60" s="5">
        <v>2027</v>
      </c>
      <c r="B60" s="184">
        <f>'Trip Calculation'!I16</f>
        <v>82.149999999999991</v>
      </c>
      <c r="C60" s="186">
        <f>'Trip Calculation'!J16*'Other Factors'!$B$21</f>
        <v>0</v>
      </c>
      <c r="D60" s="186">
        <f>'Trip Calculation'!K16*'Other Factors'!$C$21</f>
        <v>0</v>
      </c>
      <c r="E60" s="186">
        <f>'Trip Calculation'!L16*'Other Factors'!$D$21</f>
        <v>52986.749999999993</v>
      </c>
      <c r="F60" s="185">
        <f t="shared" si="14"/>
        <v>52986.749999999993</v>
      </c>
      <c r="G60" s="194">
        <f>F60*'Other Factors'!$B$9*'Other Factors'!$B$5</f>
        <v>470282399.99999994</v>
      </c>
      <c r="H60" s="189">
        <f>(('Trip Calculation'!J16*'Other Factors'!$B$23)+('Trip Calculation'!K16*'Other Factors'!$C$23)+('Trip Calculation'!L16*'Other Factors'!$D$23))/60</f>
        <v>1709.25</v>
      </c>
      <c r="I60" s="184">
        <f>'Trip Calculation'!I60</f>
        <v>137.81324999999995</v>
      </c>
      <c r="J60" s="191">
        <f>'Trip Calculation'!J60*'Other Factors'!$E$21</f>
        <v>112431.35058749998</v>
      </c>
      <c r="K60" s="186">
        <f>'Trip Calculation'!K60*'Other Factors'!$F$21</f>
        <v>71818.312499999985</v>
      </c>
      <c r="L60" s="191">
        <f>'Trip Calculation'!L60*'Other Factors'!$G$21</f>
        <v>35399.622862499986</v>
      </c>
      <c r="M60" s="192">
        <f t="shared" si="15"/>
        <v>219649.28594999996</v>
      </c>
      <c r="N60" s="194">
        <f>M60*'Other Factors'!$B$9*'Other Factors'!$B$5</f>
        <v>1949491020.9599996</v>
      </c>
      <c r="O60" s="193">
        <f>(('Trip Calculation'!J60*'Other Factors'!$E$23)+('Trip Calculation'!K60*'Other Factors'!$F$23)+('Trip Calculation'!L60*'Other Factors'!$G$23))/60</f>
        <v>7085.4608370967717</v>
      </c>
      <c r="P60" s="184">
        <f t="shared" si="16"/>
        <v>166662.53594999996</v>
      </c>
      <c r="Q60" s="194">
        <f t="shared" si="17"/>
        <v>1479208620.9599996</v>
      </c>
      <c r="R60" s="195">
        <f t="shared" si="18"/>
        <v>5376.2108370967717</v>
      </c>
    </row>
    <row r="61" spans="1:18" x14ac:dyDescent="0.25">
      <c r="A61" s="5">
        <v>2028</v>
      </c>
      <c r="B61" s="184">
        <f>'Trip Calculation'!I17</f>
        <v>109.53333333333332</v>
      </c>
      <c r="C61" s="186">
        <f>'Trip Calculation'!J17*'Other Factors'!$B$21</f>
        <v>0</v>
      </c>
      <c r="D61" s="186">
        <f>'Trip Calculation'!K17*'Other Factors'!$C$21</f>
        <v>0</v>
      </c>
      <c r="E61" s="186">
        <f>'Trip Calculation'!L17*'Other Factors'!$D$21</f>
        <v>70648.999999999985</v>
      </c>
      <c r="F61" s="185">
        <f t="shared" si="14"/>
        <v>70648.999999999985</v>
      </c>
      <c r="G61" s="194">
        <f>F61*'Other Factors'!$B$9*'Other Factors'!$B$5</f>
        <v>627043199.99999988</v>
      </c>
      <c r="H61" s="189">
        <f>(('Trip Calculation'!J17*'Other Factors'!$B$23)+('Trip Calculation'!K17*'Other Factors'!$C$23)+('Trip Calculation'!L17*'Other Factors'!$D$23))/60</f>
        <v>2279</v>
      </c>
      <c r="I61" s="184">
        <f>'Trip Calculation'!I61</f>
        <v>183.75099999999998</v>
      </c>
      <c r="J61" s="191">
        <f>'Trip Calculation'!J61*'Other Factors'!$E$21</f>
        <v>149908.46745</v>
      </c>
      <c r="K61" s="186">
        <f>'Trip Calculation'!K61*'Other Factors'!$F$21</f>
        <v>95757.750000000015</v>
      </c>
      <c r="L61" s="191">
        <f>'Trip Calculation'!L61*'Other Factors'!$G$21</f>
        <v>47199.497150000003</v>
      </c>
      <c r="M61" s="192">
        <f t="shared" si="15"/>
        <v>292865.71460000001</v>
      </c>
      <c r="N61" s="194">
        <f>M61*'Other Factors'!$B$9*'Other Factors'!$B$5</f>
        <v>2599321361.2800002</v>
      </c>
      <c r="O61" s="193">
        <f>(('Trip Calculation'!J61*'Other Factors'!$E$23)+('Trip Calculation'!K61*'Other Factors'!$F$23)+('Trip Calculation'!L61*'Other Factors'!$G$23))/60</f>
        <v>9447.2811161290319</v>
      </c>
      <c r="P61" s="184">
        <f t="shared" si="16"/>
        <v>222216.71460000001</v>
      </c>
      <c r="Q61" s="194">
        <f t="shared" si="17"/>
        <v>1972278161.2800002</v>
      </c>
      <c r="R61" s="195">
        <f t="shared" si="18"/>
        <v>7168.2811161290319</v>
      </c>
    </row>
    <row r="62" spans="1:18" x14ac:dyDescent="0.25">
      <c r="A62" s="5">
        <v>2029</v>
      </c>
      <c r="B62" s="184">
        <f>'Trip Calculation'!I18</f>
        <v>136.91666666666666</v>
      </c>
      <c r="C62" s="186">
        <f>'Trip Calculation'!J18*'Other Factors'!$B$21</f>
        <v>0</v>
      </c>
      <c r="D62" s="186">
        <f>'Trip Calculation'!K18*'Other Factors'!$C$21</f>
        <v>0</v>
      </c>
      <c r="E62" s="186">
        <f>'Trip Calculation'!L18*'Other Factors'!$D$21</f>
        <v>88311.25</v>
      </c>
      <c r="F62" s="185">
        <f t="shared" si="14"/>
        <v>88311.25</v>
      </c>
      <c r="G62" s="194">
        <f>F62*'Other Factors'!$B$9*'Other Factors'!$B$5</f>
        <v>783804000</v>
      </c>
      <c r="H62" s="189">
        <f>(('Trip Calculation'!J18*'Other Factors'!$B$23)+('Trip Calculation'!K18*'Other Factors'!$C$23)+('Trip Calculation'!L18*'Other Factors'!$D$23))/60</f>
        <v>2848.75</v>
      </c>
      <c r="I62" s="184">
        <f>'Trip Calculation'!I62</f>
        <v>229.68874999999994</v>
      </c>
      <c r="J62" s="191">
        <f>'Trip Calculation'!J62*'Other Factors'!$E$21</f>
        <v>187385.58431249997</v>
      </c>
      <c r="K62" s="186">
        <f>'Trip Calculation'!K62*'Other Factors'!$F$21</f>
        <v>119697.18749999997</v>
      </c>
      <c r="L62" s="191">
        <f>'Trip Calculation'!L62*'Other Factors'!$G$21</f>
        <v>58999.371437499991</v>
      </c>
      <c r="M62" s="192">
        <f t="shared" si="15"/>
        <v>366082.14324999996</v>
      </c>
      <c r="N62" s="194">
        <f>M62*'Other Factors'!$B$9*'Other Factors'!$B$5</f>
        <v>3249151701.5999994</v>
      </c>
      <c r="O62" s="193">
        <f>(('Trip Calculation'!J62*'Other Factors'!$E$23)+('Trip Calculation'!K62*'Other Factors'!$F$23)+('Trip Calculation'!L62*'Other Factors'!$G$23))/60</f>
        <v>11809.101395161288</v>
      </c>
      <c r="P62" s="184">
        <f t="shared" si="16"/>
        <v>277770.89324999996</v>
      </c>
      <c r="Q62" s="194">
        <f t="shared" si="17"/>
        <v>2465347701.5999994</v>
      </c>
      <c r="R62" s="195">
        <f t="shared" si="18"/>
        <v>8960.3513951612877</v>
      </c>
    </row>
    <row r="63" spans="1:18" x14ac:dyDescent="0.25">
      <c r="A63" s="5">
        <v>2030</v>
      </c>
      <c r="B63" s="184">
        <f>'Trip Calculation'!I19</f>
        <v>164.29999999999998</v>
      </c>
      <c r="C63" s="186">
        <f>'Trip Calculation'!J19*'Other Factors'!$B$21</f>
        <v>0</v>
      </c>
      <c r="D63" s="186">
        <f>'Trip Calculation'!K19*'Other Factors'!$C$21</f>
        <v>0</v>
      </c>
      <c r="E63" s="186">
        <f>'Trip Calculation'!L19*'Other Factors'!$D$21</f>
        <v>105973.49999999999</v>
      </c>
      <c r="F63" s="185">
        <f t="shared" si="14"/>
        <v>105973.49999999999</v>
      </c>
      <c r="G63" s="194">
        <f>F63*'Other Factors'!$B$9*'Other Factors'!$B$5</f>
        <v>940564799.99999988</v>
      </c>
      <c r="H63" s="189">
        <f>(('Trip Calculation'!J19*'Other Factors'!$B$23)+('Trip Calculation'!K19*'Other Factors'!$C$23)+('Trip Calculation'!L19*'Other Factors'!$D$23))/60</f>
        <v>3418.5</v>
      </c>
      <c r="I63" s="184">
        <f>'Trip Calculation'!I63</f>
        <v>275.62649999999991</v>
      </c>
      <c r="J63" s="191">
        <f>'Trip Calculation'!J63*'Other Factors'!$E$21</f>
        <v>224862.70117499997</v>
      </c>
      <c r="K63" s="186">
        <f>'Trip Calculation'!K63*'Other Factors'!$F$21</f>
        <v>143636.62499999997</v>
      </c>
      <c r="L63" s="191">
        <f>'Trip Calculation'!L63*'Other Factors'!$G$21</f>
        <v>70799.245724999972</v>
      </c>
      <c r="M63" s="192">
        <f t="shared" si="15"/>
        <v>439298.57189999992</v>
      </c>
      <c r="N63" s="194">
        <f>M63*'Other Factors'!$B$9*'Other Factors'!$B$5</f>
        <v>3898982041.9199991</v>
      </c>
      <c r="O63" s="193">
        <f>(('Trip Calculation'!J63*'Other Factors'!$E$23)+('Trip Calculation'!K63*'Other Factors'!$F$23)+('Trip Calculation'!L63*'Other Factors'!$G$23))/60</f>
        <v>14170.921674193543</v>
      </c>
      <c r="P63" s="184">
        <f t="shared" si="16"/>
        <v>333325.07189999992</v>
      </c>
      <c r="Q63" s="194">
        <f t="shared" si="17"/>
        <v>2958417241.9199991</v>
      </c>
      <c r="R63" s="195">
        <f t="shared" si="18"/>
        <v>10752.421674193543</v>
      </c>
    </row>
    <row r="64" spans="1:18" x14ac:dyDescent="0.25">
      <c r="A64" s="5">
        <v>2031</v>
      </c>
      <c r="B64" s="184">
        <f>'Trip Calculation'!I20</f>
        <v>199.89833333333331</v>
      </c>
      <c r="C64" s="186">
        <f>'Trip Calculation'!J20*'Other Factors'!$B$21</f>
        <v>0</v>
      </c>
      <c r="D64" s="186">
        <f>'Trip Calculation'!K20*'Other Factors'!$C$21</f>
        <v>0</v>
      </c>
      <c r="E64" s="186">
        <f>'Trip Calculation'!L20*'Other Factors'!$D$21</f>
        <v>128934.42499999999</v>
      </c>
      <c r="F64" s="185">
        <f t="shared" si="14"/>
        <v>128934.42499999999</v>
      </c>
      <c r="G64" s="194">
        <f>F64*'Other Factors'!$B$9*'Other Factors'!$B$5</f>
        <v>1144353839.9999998</v>
      </c>
      <c r="H64" s="189">
        <f>(('Trip Calculation'!J20*'Other Factors'!$B$23)+('Trip Calculation'!K20*'Other Factors'!$C$23)+('Trip Calculation'!L20*'Other Factors'!$D$23))/60</f>
        <v>4159.1750000000002</v>
      </c>
      <c r="I64" s="184">
        <f>'Trip Calculation'!I64</f>
        <v>335.34557499999988</v>
      </c>
      <c r="J64" s="191">
        <f>'Trip Calculation'!J64*'Other Factors'!$E$21</f>
        <v>273582.95309624996</v>
      </c>
      <c r="K64" s="186">
        <f>'Trip Calculation'!K64*'Other Factors'!$F$21</f>
        <v>174757.89374999996</v>
      </c>
      <c r="L64" s="191">
        <f>'Trip Calculation'!L64*'Other Factors'!$G$21</f>
        <v>86139.082298749985</v>
      </c>
      <c r="M64" s="192">
        <f t="shared" si="15"/>
        <v>534479.92914499983</v>
      </c>
      <c r="N64" s="194">
        <f>M64*'Other Factors'!$B$9*'Other Factors'!$B$5</f>
        <v>4743761484.3359985</v>
      </c>
      <c r="O64" s="193">
        <f>(('Trip Calculation'!J64*'Other Factors'!$E$23)+('Trip Calculation'!K64*'Other Factors'!$F$23)+('Trip Calculation'!L64*'Other Factors'!$G$23))/60</f>
        <v>17241.288036935479</v>
      </c>
      <c r="P64" s="184">
        <f t="shared" si="16"/>
        <v>405545.50414499984</v>
      </c>
      <c r="Q64" s="194">
        <f t="shared" si="17"/>
        <v>3599407644.3359985</v>
      </c>
      <c r="R64" s="195">
        <f t="shared" si="18"/>
        <v>13082.11303693548</v>
      </c>
    </row>
    <row r="65" spans="1:18" x14ac:dyDescent="0.25">
      <c r="A65" s="5">
        <v>2032</v>
      </c>
      <c r="B65" s="184">
        <f>'Trip Calculation'!I21</f>
        <v>199.89833333333331</v>
      </c>
      <c r="C65" s="186">
        <f>'Trip Calculation'!J21*'Other Factors'!$B$21</f>
        <v>0</v>
      </c>
      <c r="D65" s="186">
        <f>'Trip Calculation'!K21*'Other Factors'!$C$21</f>
        <v>0</v>
      </c>
      <c r="E65" s="186">
        <f>'Trip Calculation'!L21*'Other Factors'!$D$21</f>
        <v>128934.42499999999</v>
      </c>
      <c r="F65" s="185">
        <f t="shared" si="14"/>
        <v>128934.42499999999</v>
      </c>
      <c r="G65" s="194">
        <f>F65*'Other Factors'!$B$9*'Other Factors'!$B$5</f>
        <v>1144353839.9999998</v>
      </c>
      <c r="H65" s="189">
        <f>(('Trip Calculation'!J21*'Other Factors'!$B$23)+('Trip Calculation'!K21*'Other Factors'!$C$23)+('Trip Calculation'!L21*'Other Factors'!$D$23))/60</f>
        <v>4159.1750000000002</v>
      </c>
      <c r="I65" s="184">
        <f>'Trip Calculation'!I65</f>
        <v>335.34557499999988</v>
      </c>
      <c r="J65" s="191">
        <f>'Trip Calculation'!J65*'Other Factors'!$E$21</f>
        <v>273582.95309624996</v>
      </c>
      <c r="K65" s="186">
        <f>'Trip Calculation'!K65*'Other Factors'!$F$21</f>
        <v>174757.89374999996</v>
      </c>
      <c r="L65" s="191">
        <f>'Trip Calculation'!L65*'Other Factors'!$G$21</f>
        <v>86139.082298749985</v>
      </c>
      <c r="M65" s="192">
        <f t="shared" si="15"/>
        <v>534479.92914499983</v>
      </c>
      <c r="N65" s="194">
        <f>M65*'Other Factors'!$B$9*'Other Factors'!$B$5</f>
        <v>4743761484.3359985</v>
      </c>
      <c r="O65" s="193">
        <f>(('Trip Calculation'!J65*'Other Factors'!$E$23)+('Trip Calculation'!K65*'Other Factors'!$F$23)+('Trip Calculation'!L65*'Other Factors'!$G$23))/60</f>
        <v>17241.288036935479</v>
      </c>
      <c r="P65" s="184">
        <f t="shared" si="16"/>
        <v>405545.50414499984</v>
      </c>
      <c r="Q65" s="194">
        <f t="shared" si="17"/>
        <v>3599407644.3359985</v>
      </c>
      <c r="R65" s="195">
        <f t="shared" si="18"/>
        <v>13082.11303693548</v>
      </c>
    </row>
    <row r="66" spans="1:18" x14ac:dyDescent="0.25">
      <c r="A66" s="5">
        <v>2033</v>
      </c>
      <c r="B66" s="184">
        <f>'Trip Calculation'!I22</f>
        <v>199.89833333333331</v>
      </c>
      <c r="C66" s="186">
        <f>'Trip Calculation'!J22*'Other Factors'!$B$21</f>
        <v>0</v>
      </c>
      <c r="D66" s="186">
        <f>'Trip Calculation'!K22*'Other Factors'!$C$21</f>
        <v>0</v>
      </c>
      <c r="E66" s="186">
        <f>'Trip Calculation'!L22*'Other Factors'!$D$21</f>
        <v>128934.42499999999</v>
      </c>
      <c r="F66" s="185">
        <f t="shared" si="14"/>
        <v>128934.42499999999</v>
      </c>
      <c r="G66" s="194">
        <f>F66*'Other Factors'!$B$9*'Other Factors'!$B$5</f>
        <v>1144353839.9999998</v>
      </c>
      <c r="H66" s="189">
        <f>(('Trip Calculation'!J22*'Other Factors'!$B$23)+('Trip Calculation'!K22*'Other Factors'!$C$23)+('Trip Calculation'!L22*'Other Factors'!$D$23))/60</f>
        <v>4159.1750000000002</v>
      </c>
      <c r="I66" s="184">
        <f>'Trip Calculation'!I66</f>
        <v>335.34557499999988</v>
      </c>
      <c r="J66" s="191">
        <f>'Trip Calculation'!J66*'Other Factors'!$E$21</f>
        <v>273582.95309624996</v>
      </c>
      <c r="K66" s="186">
        <f>'Trip Calculation'!K66*'Other Factors'!$F$21</f>
        <v>174757.89374999996</v>
      </c>
      <c r="L66" s="191">
        <f>'Trip Calculation'!L66*'Other Factors'!$G$21</f>
        <v>86139.082298749985</v>
      </c>
      <c r="M66" s="192">
        <f t="shared" si="15"/>
        <v>534479.92914499983</v>
      </c>
      <c r="N66" s="194">
        <f>M66*'Other Factors'!$B$9*'Other Factors'!$B$5</f>
        <v>4743761484.3359985</v>
      </c>
      <c r="O66" s="193">
        <f>(('Trip Calculation'!J66*'Other Factors'!$E$23)+('Trip Calculation'!K66*'Other Factors'!$F$23)+('Trip Calculation'!L66*'Other Factors'!$G$23))/60</f>
        <v>17241.288036935479</v>
      </c>
      <c r="P66" s="184">
        <f t="shared" si="16"/>
        <v>405545.50414499984</v>
      </c>
      <c r="Q66" s="194">
        <f t="shared" si="17"/>
        <v>3599407644.3359985</v>
      </c>
      <c r="R66" s="195">
        <f t="shared" si="18"/>
        <v>13082.11303693548</v>
      </c>
    </row>
    <row r="67" spans="1:18" x14ac:dyDescent="0.25">
      <c r="A67" s="5">
        <v>2034</v>
      </c>
      <c r="B67" s="184">
        <f>'Trip Calculation'!I23</f>
        <v>199.89833333333331</v>
      </c>
      <c r="C67" s="186">
        <f>'Trip Calculation'!J23*'Other Factors'!$B$21</f>
        <v>0</v>
      </c>
      <c r="D67" s="186">
        <f>'Trip Calculation'!K23*'Other Factors'!$C$21</f>
        <v>0</v>
      </c>
      <c r="E67" s="186">
        <f>'Trip Calculation'!L23*'Other Factors'!$D$21</f>
        <v>128934.42499999999</v>
      </c>
      <c r="F67" s="185">
        <f t="shared" si="14"/>
        <v>128934.42499999999</v>
      </c>
      <c r="G67" s="194">
        <f>F67*'Other Factors'!$B$9*'Other Factors'!$B$5</f>
        <v>1144353839.9999998</v>
      </c>
      <c r="H67" s="189">
        <f>(('Trip Calculation'!J23*'Other Factors'!$B$23)+('Trip Calculation'!K23*'Other Factors'!$C$23)+('Trip Calculation'!L23*'Other Factors'!$D$23))/60</f>
        <v>4159.1750000000002</v>
      </c>
      <c r="I67" s="184">
        <f>'Trip Calculation'!I67</f>
        <v>335.34557499999988</v>
      </c>
      <c r="J67" s="191">
        <f>'Trip Calculation'!J67*'Other Factors'!$E$21</f>
        <v>273582.95309624996</v>
      </c>
      <c r="K67" s="186">
        <f>'Trip Calculation'!K67*'Other Factors'!$F$21</f>
        <v>174757.89374999996</v>
      </c>
      <c r="L67" s="191">
        <f>'Trip Calculation'!L67*'Other Factors'!$G$21</f>
        <v>86139.082298749985</v>
      </c>
      <c r="M67" s="192">
        <f t="shared" si="15"/>
        <v>534479.92914499983</v>
      </c>
      <c r="N67" s="194">
        <f>M67*'Other Factors'!$B$9*'Other Factors'!$B$5</f>
        <v>4743761484.3359985</v>
      </c>
      <c r="O67" s="193">
        <f>(('Trip Calculation'!J67*'Other Factors'!$E$23)+('Trip Calculation'!K67*'Other Factors'!$F$23)+('Trip Calculation'!L67*'Other Factors'!$G$23))/60</f>
        <v>17241.288036935479</v>
      </c>
      <c r="P67" s="184">
        <f t="shared" si="16"/>
        <v>405545.50414499984</v>
      </c>
      <c r="Q67" s="194">
        <f t="shared" si="17"/>
        <v>3599407644.3359985</v>
      </c>
      <c r="R67" s="195">
        <f t="shared" si="18"/>
        <v>13082.11303693548</v>
      </c>
    </row>
    <row r="68" spans="1:18" x14ac:dyDescent="0.25">
      <c r="A68" s="5">
        <v>2035</v>
      </c>
      <c r="B68" s="184">
        <f>'Trip Calculation'!I24</f>
        <v>199.89833333333331</v>
      </c>
      <c r="C68" s="186">
        <f>'Trip Calculation'!J24*'Other Factors'!$B$21</f>
        <v>0</v>
      </c>
      <c r="D68" s="186">
        <f>'Trip Calculation'!K24*'Other Factors'!$C$21</f>
        <v>0</v>
      </c>
      <c r="E68" s="186">
        <f>'Trip Calculation'!L24*'Other Factors'!$D$21</f>
        <v>128934.42499999999</v>
      </c>
      <c r="F68" s="185">
        <f t="shared" si="14"/>
        <v>128934.42499999999</v>
      </c>
      <c r="G68" s="194">
        <f>F68*'Other Factors'!$B$9*'Other Factors'!$B$5</f>
        <v>1144353839.9999998</v>
      </c>
      <c r="H68" s="189">
        <f>(('Trip Calculation'!J24*'Other Factors'!$B$23)+('Trip Calculation'!K24*'Other Factors'!$C$23)+('Trip Calculation'!L24*'Other Factors'!$D$23))/60</f>
        <v>4159.1750000000002</v>
      </c>
      <c r="I68" s="184">
        <f>'Trip Calculation'!I68</f>
        <v>335.34557499999988</v>
      </c>
      <c r="J68" s="191">
        <f>'Trip Calculation'!J68*'Other Factors'!$E$21</f>
        <v>273582.95309624996</v>
      </c>
      <c r="K68" s="186">
        <f>'Trip Calculation'!K68*'Other Factors'!$F$21</f>
        <v>174757.89374999996</v>
      </c>
      <c r="L68" s="191">
        <f>'Trip Calculation'!L68*'Other Factors'!$G$21</f>
        <v>86139.082298749985</v>
      </c>
      <c r="M68" s="192">
        <f t="shared" si="15"/>
        <v>534479.92914499983</v>
      </c>
      <c r="N68" s="194">
        <f>M68*'Other Factors'!$B$9*'Other Factors'!$B$5</f>
        <v>4743761484.3359985</v>
      </c>
      <c r="O68" s="193">
        <f>(('Trip Calculation'!J68*'Other Factors'!$E$23)+('Trip Calculation'!K68*'Other Factors'!$F$23)+('Trip Calculation'!L68*'Other Factors'!$G$23))/60</f>
        <v>17241.288036935479</v>
      </c>
      <c r="P68" s="184">
        <f t="shared" si="16"/>
        <v>405545.50414499984</v>
      </c>
      <c r="Q68" s="194">
        <f t="shared" si="17"/>
        <v>3599407644.3359985</v>
      </c>
      <c r="R68" s="195">
        <f t="shared" si="18"/>
        <v>13082.11303693548</v>
      </c>
    </row>
    <row r="69" spans="1:18" x14ac:dyDescent="0.25">
      <c r="A69" s="5">
        <v>2036</v>
      </c>
      <c r="B69" s="184">
        <f>'Trip Calculation'!I25</f>
        <v>199.89833333333331</v>
      </c>
      <c r="C69" s="186">
        <f>'Trip Calculation'!J25*'Other Factors'!$B$21</f>
        <v>0</v>
      </c>
      <c r="D69" s="186">
        <f>'Trip Calculation'!K25*'Other Factors'!$C$21</f>
        <v>0</v>
      </c>
      <c r="E69" s="186">
        <f>'Trip Calculation'!L25*'Other Factors'!$D$21</f>
        <v>128934.42499999999</v>
      </c>
      <c r="F69" s="185">
        <f t="shared" si="14"/>
        <v>128934.42499999999</v>
      </c>
      <c r="G69" s="194">
        <f>F69*'Other Factors'!$B$9*'Other Factors'!$B$5</f>
        <v>1144353839.9999998</v>
      </c>
      <c r="H69" s="189">
        <f>(('Trip Calculation'!J25*'Other Factors'!$B$23)+('Trip Calculation'!K25*'Other Factors'!$C$23)+('Trip Calculation'!L25*'Other Factors'!$D$23))/60</f>
        <v>4159.1750000000002</v>
      </c>
      <c r="I69" s="184">
        <f>'Trip Calculation'!I69</f>
        <v>335.34557499999988</v>
      </c>
      <c r="J69" s="191">
        <f>'Trip Calculation'!J69*'Other Factors'!$E$21</f>
        <v>273582.95309624996</v>
      </c>
      <c r="K69" s="186">
        <f>'Trip Calculation'!K69*'Other Factors'!$F$21</f>
        <v>174757.89374999996</v>
      </c>
      <c r="L69" s="191">
        <f>'Trip Calculation'!L69*'Other Factors'!$G$21</f>
        <v>86139.082298749985</v>
      </c>
      <c r="M69" s="192">
        <f t="shared" si="15"/>
        <v>534479.92914499983</v>
      </c>
      <c r="N69" s="194">
        <f>M69*'Other Factors'!$B$9*'Other Factors'!$B$5</f>
        <v>4743761484.3359985</v>
      </c>
      <c r="O69" s="193">
        <f>(('Trip Calculation'!J69*'Other Factors'!$E$23)+('Trip Calculation'!K69*'Other Factors'!$F$23)+('Trip Calculation'!L69*'Other Factors'!$G$23))/60</f>
        <v>17241.288036935479</v>
      </c>
      <c r="P69" s="184">
        <f t="shared" si="16"/>
        <v>405545.50414499984</v>
      </c>
      <c r="Q69" s="194">
        <f t="shared" si="17"/>
        <v>3599407644.3359985</v>
      </c>
      <c r="R69" s="195">
        <f t="shared" si="18"/>
        <v>13082.11303693548</v>
      </c>
    </row>
    <row r="70" spans="1:18" x14ac:dyDescent="0.25">
      <c r="A70" s="5">
        <v>2037</v>
      </c>
      <c r="B70" s="184">
        <f>'Trip Calculation'!I26</f>
        <v>199.89833333333331</v>
      </c>
      <c r="C70" s="186">
        <f>'Trip Calculation'!J26*'Other Factors'!$B$21</f>
        <v>0</v>
      </c>
      <c r="D70" s="186">
        <f>'Trip Calculation'!K26*'Other Factors'!$C$21</f>
        <v>0</v>
      </c>
      <c r="E70" s="186">
        <f>'Trip Calculation'!L26*'Other Factors'!$D$21</f>
        <v>128934.42499999999</v>
      </c>
      <c r="F70" s="185">
        <f t="shared" si="14"/>
        <v>128934.42499999999</v>
      </c>
      <c r="G70" s="194">
        <f>F70*'Other Factors'!$B$9*'Other Factors'!$B$5</f>
        <v>1144353839.9999998</v>
      </c>
      <c r="H70" s="189">
        <f>(('Trip Calculation'!J26*'Other Factors'!$B$23)+('Trip Calculation'!K26*'Other Factors'!$C$23)+('Trip Calculation'!L26*'Other Factors'!$D$23))/60</f>
        <v>4159.1750000000002</v>
      </c>
      <c r="I70" s="184">
        <f>'Trip Calculation'!I70</f>
        <v>335.34557499999988</v>
      </c>
      <c r="J70" s="191">
        <f>'Trip Calculation'!J70*'Other Factors'!$E$21</f>
        <v>273582.95309624996</v>
      </c>
      <c r="K70" s="186">
        <f>'Trip Calculation'!K70*'Other Factors'!$F$21</f>
        <v>174757.89374999996</v>
      </c>
      <c r="L70" s="191">
        <f>'Trip Calculation'!L70*'Other Factors'!$G$21</f>
        <v>86139.082298749985</v>
      </c>
      <c r="M70" s="192">
        <f t="shared" si="15"/>
        <v>534479.92914499983</v>
      </c>
      <c r="N70" s="194">
        <f>M70*'Other Factors'!$B$9*'Other Factors'!$B$5</f>
        <v>4743761484.3359985</v>
      </c>
      <c r="O70" s="193">
        <f>(('Trip Calculation'!J70*'Other Factors'!$E$23)+('Trip Calculation'!K70*'Other Factors'!$F$23)+('Trip Calculation'!L70*'Other Factors'!$G$23))/60</f>
        <v>17241.288036935479</v>
      </c>
      <c r="P70" s="184">
        <f t="shared" si="16"/>
        <v>405545.50414499984</v>
      </c>
      <c r="Q70" s="194">
        <f t="shared" si="17"/>
        <v>3599407644.3359985</v>
      </c>
      <c r="R70" s="195">
        <f t="shared" si="18"/>
        <v>13082.11303693548</v>
      </c>
    </row>
    <row r="71" spans="1:18" x14ac:dyDescent="0.25">
      <c r="A71" s="5">
        <v>2038</v>
      </c>
      <c r="B71" s="184">
        <f>'Trip Calculation'!I27</f>
        <v>199.89833333333331</v>
      </c>
      <c r="C71" s="186">
        <f>'Trip Calculation'!J27*'Other Factors'!$B$21</f>
        <v>0</v>
      </c>
      <c r="D71" s="186">
        <f>'Trip Calculation'!K27*'Other Factors'!$C$21</f>
        <v>0</v>
      </c>
      <c r="E71" s="186">
        <f>'Trip Calculation'!L27*'Other Factors'!$D$21</f>
        <v>128934.42499999999</v>
      </c>
      <c r="F71" s="185">
        <f t="shared" si="14"/>
        <v>128934.42499999999</v>
      </c>
      <c r="G71" s="194">
        <f>F71*'Other Factors'!$B$9*'Other Factors'!$B$5</f>
        <v>1144353839.9999998</v>
      </c>
      <c r="H71" s="189">
        <f>(('Trip Calculation'!J27*'Other Factors'!$B$23)+('Trip Calculation'!K27*'Other Factors'!$C$23)+('Trip Calculation'!L27*'Other Factors'!$D$23))/60</f>
        <v>4159.1750000000002</v>
      </c>
      <c r="I71" s="184">
        <f>'Trip Calculation'!I71</f>
        <v>335.34557499999988</v>
      </c>
      <c r="J71" s="191">
        <f>'Trip Calculation'!J71*'Other Factors'!$E$21</f>
        <v>273582.95309624996</v>
      </c>
      <c r="K71" s="186">
        <f>'Trip Calculation'!K71*'Other Factors'!$F$21</f>
        <v>174757.89374999996</v>
      </c>
      <c r="L71" s="191">
        <f>'Trip Calculation'!L71*'Other Factors'!$G$21</f>
        <v>86139.082298749985</v>
      </c>
      <c r="M71" s="192">
        <f t="shared" si="15"/>
        <v>534479.92914499983</v>
      </c>
      <c r="N71" s="194">
        <f>M71*'Other Factors'!$B$9*'Other Factors'!$B$5</f>
        <v>4743761484.3359985</v>
      </c>
      <c r="O71" s="193">
        <f>(('Trip Calculation'!J71*'Other Factors'!$E$23)+('Trip Calculation'!K71*'Other Factors'!$F$23)+('Trip Calculation'!L71*'Other Factors'!$G$23))/60</f>
        <v>17241.288036935479</v>
      </c>
      <c r="P71" s="184">
        <f t="shared" si="16"/>
        <v>405545.50414499984</v>
      </c>
      <c r="Q71" s="194">
        <f t="shared" si="17"/>
        <v>3599407644.3359985</v>
      </c>
      <c r="R71" s="195">
        <f t="shared" si="18"/>
        <v>13082.11303693548</v>
      </c>
    </row>
    <row r="72" spans="1:18" x14ac:dyDescent="0.25">
      <c r="A72" s="5">
        <v>2039</v>
      </c>
      <c r="B72" s="184">
        <f>'Trip Calculation'!I28</f>
        <v>199.89833333333331</v>
      </c>
      <c r="C72" s="186">
        <f>'Trip Calculation'!J28*'Other Factors'!$B$21</f>
        <v>0</v>
      </c>
      <c r="D72" s="186">
        <f>'Trip Calculation'!K28*'Other Factors'!$C$21</f>
        <v>0</v>
      </c>
      <c r="E72" s="186">
        <f>'Trip Calculation'!L28*'Other Factors'!$D$21</f>
        <v>128934.42499999999</v>
      </c>
      <c r="F72" s="185">
        <f t="shared" si="14"/>
        <v>128934.42499999999</v>
      </c>
      <c r="G72" s="194">
        <f>F72*'Other Factors'!$B$9*'Other Factors'!$B$5</f>
        <v>1144353839.9999998</v>
      </c>
      <c r="H72" s="189">
        <f>(('Trip Calculation'!J28*'Other Factors'!$B$23)+('Trip Calculation'!K28*'Other Factors'!$C$23)+('Trip Calculation'!L28*'Other Factors'!$D$23))/60</f>
        <v>4159.1750000000002</v>
      </c>
      <c r="I72" s="184">
        <f>'Trip Calculation'!I72</f>
        <v>335.34557499999988</v>
      </c>
      <c r="J72" s="191">
        <f>'Trip Calculation'!J72*'Other Factors'!$E$21</f>
        <v>273582.95309624996</v>
      </c>
      <c r="K72" s="186">
        <f>'Trip Calculation'!K72*'Other Factors'!$F$21</f>
        <v>174757.89374999996</v>
      </c>
      <c r="L72" s="191">
        <f>'Trip Calculation'!L72*'Other Factors'!$G$21</f>
        <v>86139.082298749985</v>
      </c>
      <c r="M72" s="192">
        <f t="shared" si="15"/>
        <v>534479.92914499983</v>
      </c>
      <c r="N72" s="194">
        <f>M72*'Other Factors'!$B$9*'Other Factors'!$B$5</f>
        <v>4743761484.3359985</v>
      </c>
      <c r="O72" s="193">
        <f>(('Trip Calculation'!J72*'Other Factors'!$E$23)+('Trip Calculation'!K72*'Other Factors'!$F$23)+('Trip Calculation'!L72*'Other Factors'!$G$23))/60</f>
        <v>17241.288036935479</v>
      </c>
      <c r="P72" s="184">
        <f t="shared" si="16"/>
        <v>405545.50414499984</v>
      </c>
      <c r="Q72" s="194">
        <f t="shared" si="17"/>
        <v>3599407644.3359985</v>
      </c>
      <c r="R72" s="195">
        <f t="shared" si="18"/>
        <v>13082.11303693548</v>
      </c>
    </row>
    <row r="73" spans="1:18" x14ac:dyDescent="0.25">
      <c r="A73" s="5">
        <v>2040</v>
      </c>
      <c r="B73" s="184">
        <f>'Trip Calculation'!I29</f>
        <v>199.89833333333331</v>
      </c>
      <c r="C73" s="186">
        <f>'Trip Calculation'!J29*'Other Factors'!$B$21</f>
        <v>0</v>
      </c>
      <c r="D73" s="186">
        <f>'Trip Calculation'!K29*'Other Factors'!$C$21</f>
        <v>0</v>
      </c>
      <c r="E73" s="186">
        <f>'Trip Calculation'!L29*'Other Factors'!$D$21</f>
        <v>128934.42499999999</v>
      </c>
      <c r="F73" s="185">
        <f t="shared" si="14"/>
        <v>128934.42499999999</v>
      </c>
      <c r="G73" s="194">
        <f>F73*'Other Factors'!$B$9*'Other Factors'!$B$5</f>
        <v>1144353839.9999998</v>
      </c>
      <c r="H73" s="189">
        <f>(('Trip Calculation'!J29*'Other Factors'!$B$23)+('Trip Calculation'!K29*'Other Factors'!$C$23)+('Trip Calculation'!L29*'Other Factors'!$D$23))/60</f>
        <v>4159.1750000000002</v>
      </c>
      <c r="I73" s="184">
        <f>'Trip Calculation'!I73</f>
        <v>335.34557499999988</v>
      </c>
      <c r="J73" s="191">
        <f>'Trip Calculation'!J73*'Other Factors'!$E$21</f>
        <v>273582.95309624996</v>
      </c>
      <c r="K73" s="186">
        <f>'Trip Calculation'!K73*'Other Factors'!$F$21</f>
        <v>174757.89374999996</v>
      </c>
      <c r="L73" s="191">
        <f>'Trip Calculation'!L73*'Other Factors'!$G$21</f>
        <v>86139.082298749985</v>
      </c>
      <c r="M73" s="192">
        <f t="shared" si="15"/>
        <v>534479.92914499983</v>
      </c>
      <c r="N73" s="194">
        <f>M73*'Other Factors'!$B$9*'Other Factors'!$B$5</f>
        <v>4743761484.3359985</v>
      </c>
      <c r="O73" s="193">
        <f>(('Trip Calculation'!J73*'Other Factors'!$E$23)+('Trip Calculation'!K73*'Other Factors'!$F$23)+('Trip Calculation'!L73*'Other Factors'!$G$23))/60</f>
        <v>17241.288036935479</v>
      </c>
      <c r="P73" s="184">
        <f t="shared" si="16"/>
        <v>405545.50414499984</v>
      </c>
      <c r="Q73" s="194">
        <f t="shared" si="17"/>
        <v>3599407644.3359985</v>
      </c>
      <c r="R73" s="195">
        <f t="shared" si="18"/>
        <v>13082.11303693548</v>
      </c>
    </row>
    <row r="74" spans="1:18" x14ac:dyDescent="0.25">
      <c r="A74" s="5">
        <v>2041</v>
      </c>
      <c r="B74" s="184">
        <f>'Trip Calculation'!I30</f>
        <v>199.89833333333331</v>
      </c>
      <c r="C74" s="186">
        <f>'Trip Calculation'!J30*'Other Factors'!$B$21</f>
        <v>0</v>
      </c>
      <c r="D74" s="186">
        <f>'Trip Calculation'!K30*'Other Factors'!$C$21</f>
        <v>0</v>
      </c>
      <c r="E74" s="186">
        <f>'Trip Calculation'!L30*'Other Factors'!$D$21</f>
        <v>128934.42499999999</v>
      </c>
      <c r="F74" s="185">
        <f t="shared" si="14"/>
        <v>128934.42499999999</v>
      </c>
      <c r="G74" s="194">
        <f>F74*'Other Factors'!$B$9*'Other Factors'!$B$5</f>
        <v>1144353839.9999998</v>
      </c>
      <c r="H74" s="189">
        <f>(('Trip Calculation'!J30*'Other Factors'!$B$23)+('Trip Calculation'!K30*'Other Factors'!$C$23)+('Trip Calculation'!L30*'Other Factors'!$D$23))/60</f>
        <v>4159.1750000000002</v>
      </c>
      <c r="I74" s="184">
        <f>'Trip Calculation'!I74</f>
        <v>335.34557499999988</v>
      </c>
      <c r="J74" s="191">
        <f>'Trip Calculation'!J74*'Other Factors'!$E$21</f>
        <v>273582.95309624996</v>
      </c>
      <c r="K74" s="186">
        <f>'Trip Calculation'!K74*'Other Factors'!$F$21</f>
        <v>174757.89374999996</v>
      </c>
      <c r="L74" s="191">
        <f>'Trip Calculation'!L74*'Other Factors'!$G$21</f>
        <v>86139.082298749985</v>
      </c>
      <c r="M74" s="192">
        <f t="shared" si="15"/>
        <v>534479.92914499983</v>
      </c>
      <c r="N74" s="194">
        <f>M74*'Other Factors'!$B$9*'Other Factors'!$B$5</f>
        <v>4743761484.3359985</v>
      </c>
      <c r="O74" s="193">
        <f>(('Trip Calculation'!J74*'Other Factors'!$E$23)+('Trip Calculation'!K74*'Other Factors'!$F$23)+('Trip Calculation'!L74*'Other Factors'!$G$23))/60</f>
        <v>17241.288036935479</v>
      </c>
      <c r="P74" s="184">
        <f t="shared" si="16"/>
        <v>405545.50414499984</v>
      </c>
      <c r="Q74" s="194">
        <f t="shared" si="17"/>
        <v>3599407644.3359985</v>
      </c>
      <c r="R74" s="195">
        <f t="shared" si="18"/>
        <v>13082.11303693548</v>
      </c>
    </row>
    <row r="75" spans="1:18" x14ac:dyDescent="0.25">
      <c r="A75" s="5">
        <v>2042</v>
      </c>
      <c r="B75" s="184">
        <f>'Trip Calculation'!I31</f>
        <v>199.89833333333331</v>
      </c>
      <c r="C75" s="186">
        <f>'Trip Calculation'!J31*'Other Factors'!$B$21</f>
        <v>0</v>
      </c>
      <c r="D75" s="186">
        <f>'Trip Calculation'!K31*'Other Factors'!$C$21</f>
        <v>0</v>
      </c>
      <c r="E75" s="186">
        <f>'Trip Calculation'!L31*'Other Factors'!$D$21</f>
        <v>128934.42499999999</v>
      </c>
      <c r="F75" s="185">
        <f t="shared" si="14"/>
        <v>128934.42499999999</v>
      </c>
      <c r="G75" s="194">
        <f>F75*'Other Factors'!$B$9*'Other Factors'!$B$5</f>
        <v>1144353839.9999998</v>
      </c>
      <c r="H75" s="189">
        <f>(('Trip Calculation'!J31*'Other Factors'!$B$23)+('Trip Calculation'!K31*'Other Factors'!$C$23)+('Trip Calculation'!L31*'Other Factors'!$D$23))/60</f>
        <v>4159.1750000000002</v>
      </c>
      <c r="I75" s="184">
        <f>'Trip Calculation'!I75</f>
        <v>335.34557499999988</v>
      </c>
      <c r="J75" s="191">
        <f>'Trip Calculation'!J75*'Other Factors'!$E$21</f>
        <v>273582.95309624996</v>
      </c>
      <c r="K75" s="186">
        <f>'Trip Calculation'!K75*'Other Factors'!$F$21</f>
        <v>174757.89374999996</v>
      </c>
      <c r="L75" s="191">
        <f>'Trip Calculation'!L75*'Other Factors'!$G$21</f>
        <v>86139.082298749985</v>
      </c>
      <c r="M75" s="192">
        <f t="shared" si="15"/>
        <v>534479.92914499983</v>
      </c>
      <c r="N75" s="194">
        <f>M75*'Other Factors'!$B$9*'Other Factors'!$B$5</f>
        <v>4743761484.3359985</v>
      </c>
      <c r="O75" s="193">
        <f>(('Trip Calculation'!J75*'Other Factors'!$E$23)+('Trip Calculation'!K75*'Other Factors'!$F$23)+('Trip Calculation'!L75*'Other Factors'!$G$23))/60</f>
        <v>17241.288036935479</v>
      </c>
      <c r="P75" s="184">
        <f t="shared" si="16"/>
        <v>405545.50414499984</v>
      </c>
      <c r="Q75" s="194">
        <f t="shared" si="17"/>
        <v>3599407644.3359985</v>
      </c>
      <c r="R75" s="195">
        <f t="shared" si="18"/>
        <v>13082.11303693548</v>
      </c>
    </row>
    <row r="76" spans="1:18" x14ac:dyDescent="0.25">
      <c r="A76" s="5">
        <v>2043</v>
      </c>
      <c r="B76" s="184">
        <f>'Trip Calculation'!I32</f>
        <v>199.89833333333331</v>
      </c>
      <c r="C76" s="186">
        <f>'Trip Calculation'!J32*'Other Factors'!$B$21</f>
        <v>0</v>
      </c>
      <c r="D76" s="186">
        <f>'Trip Calculation'!K32*'Other Factors'!$C$21</f>
        <v>0</v>
      </c>
      <c r="E76" s="186">
        <f>'Trip Calculation'!L32*'Other Factors'!$D$21</f>
        <v>128934.42499999999</v>
      </c>
      <c r="F76" s="185">
        <f t="shared" si="14"/>
        <v>128934.42499999999</v>
      </c>
      <c r="G76" s="194">
        <f>F76*'Other Factors'!$B$9*'Other Factors'!$B$5</f>
        <v>1144353839.9999998</v>
      </c>
      <c r="H76" s="189">
        <f>(('Trip Calculation'!J32*'Other Factors'!$B$23)+('Trip Calculation'!K32*'Other Factors'!$C$23)+('Trip Calculation'!L32*'Other Factors'!$D$23))/60</f>
        <v>4159.1750000000002</v>
      </c>
      <c r="I76" s="184">
        <f>'Trip Calculation'!I76</f>
        <v>335.34557499999988</v>
      </c>
      <c r="J76" s="191">
        <f>'Trip Calculation'!J76*'Other Factors'!$E$21</f>
        <v>273582.95309624996</v>
      </c>
      <c r="K76" s="186">
        <f>'Trip Calculation'!K76*'Other Factors'!$F$21</f>
        <v>174757.89374999996</v>
      </c>
      <c r="L76" s="191">
        <f>'Trip Calculation'!L76*'Other Factors'!$G$21</f>
        <v>86139.082298749985</v>
      </c>
      <c r="M76" s="192">
        <f t="shared" si="15"/>
        <v>534479.92914499983</v>
      </c>
      <c r="N76" s="194">
        <f>M76*'Other Factors'!$B$9*'Other Factors'!$B$5</f>
        <v>4743761484.3359985</v>
      </c>
      <c r="O76" s="193">
        <f>(('Trip Calculation'!J76*'Other Factors'!$E$23)+('Trip Calculation'!K76*'Other Factors'!$F$23)+('Trip Calculation'!L76*'Other Factors'!$G$23))/60</f>
        <v>17241.288036935479</v>
      </c>
      <c r="P76" s="184">
        <f t="shared" si="16"/>
        <v>405545.50414499984</v>
      </c>
      <c r="Q76" s="194">
        <f t="shared" si="17"/>
        <v>3599407644.3359985</v>
      </c>
      <c r="R76" s="195">
        <f t="shared" si="18"/>
        <v>13082.11303693548</v>
      </c>
    </row>
    <row r="77" spans="1:18" x14ac:dyDescent="0.25">
      <c r="A77" s="5">
        <v>2044</v>
      </c>
      <c r="B77" s="184">
        <f>'Trip Calculation'!I33</f>
        <v>199.89833333333331</v>
      </c>
      <c r="C77" s="186">
        <f>'Trip Calculation'!J33*'Other Factors'!$B$21</f>
        <v>0</v>
      </c>
      <c r="D77" s="186">
        <f>'Trip Calculation'!K33*'Other Factors'!$C$21</f>
        <v>0</v>
      </c>
      <c r="E77" s="186">
        <f>'Trip Calculation'!L33*'Other Factors'!$D$21</f>
        <v>128934.42499999999</v>
      </c>
      <c r="F77" s="185">
        <f t="shared" si="14"/>
        <v>128934.42499999999</v>
      </c>
      <c r="G77" s="194">
        <f>F77*'Other Factors'!$B$9*'Other Factors'!$B$5</f>
        <v>1144353839.9999998</v>
      </c>
      <c r="H77" s="189">
        <f>(('Trip Calculation'!J33*'Other Factors'!$B$23)+('Trip Calculation'!K33*'Other Factors'!$C$23)+('Trip Calculation'!L33*'Other Factors'!$D$23))/60</f>
        <v>4159.1750000000002</v>
      </c>
      <c r="I77" s="184">
        <f>'Trip Calculation'!I77</f>
        <v>335.34557499999988</v>
      </c>
      <c r="J77" s="191">
        <f>'Trip Calculation'!J77*'Other Factors'!$E$21</f>
        <v>273582.95309624996</v>
      </c>
      <c r="K77" s="186">
        <f>'Trip Calculation'!K77*'Other Factors'!$F$21</f>
        <v>174757.89374999996</v>
      </c>
      <c r="L77" s="191">
        <f>'Trip Calculation'!L77*'Other Factors'!$G$21</f>
        <v>86139.082298749985</v>
      </c>
      <c r="M77" s="192">
        <f t="shared" si="15"/>
        <v>534479.92914499983</v>
      </c>
      <c r="N77" s="194">
        <f>M77*'Other Factors'!$B$9*'Other Factors'!$B$5</f>
        <v>4743761484.3359985</v>
      </c>
      <c r="O77" s="193">
        <f>(('Trip Calculation'!J77*'Other Factors'!$E$23)+('Trip Calculation'!K77*'Other Factors'!$F$23)+('Trip Calculation'!L77*'Other Factors'!$G$23))/60</f>
        <v>17241.288036935479</v>
      </c>
      <c r="P77" s="190">
        <f t="shared" si="16"/>
        <v>405545.50414499984</v>
      </c>
      <c r="Q77" s="194">
        <f t="shared" si="17"/>
        <v>3599407644.3359985</v>
      </c>
      <c r="R77" s="195">
        <f t="shared" si="18"/>
        <v>13082.11303693548</v>
      </c>
    </row>
    <row r="78" spans="1:18" x14ac:dyDescent="0.25">
      <c r="A78" s="5">
        <v>2045</v>
      </c>
      <c r="B78" s="184">
        <f>'Trip Calculation'!I34</f>
        <v>199.89833333333331</v>
      </c>
      <c r="C78" s="186">
        <f>'Trip Calculation'!J34*'Other Factors'!$B$21</f>
        <v>0</v>
      </c>
      <c r="D78" s="186">
        <f>'Trip Calculation'!K34*'Other Factors'!$C$21</f>
        <v>0</v>
      </c>
      <c r="E78" s="186">
        <f>'Trip Calculation'!L34*'Other Factors'!$D$21</f>
        <v>128934.42499999999</v>
      </c>
      <c r="F78" s="185">
        <f t="shared" si="14"/>
        <v>128934.42499999999</v>
      </c>
      <c r="G78" s="194">
        <f>F78*'Other Factors'!$B$9*'Other Factors'!$B$5</f>
        <v>1144353839.9999998</v>
      </c>
      <c r="H78" s="189">
        <f>(('Trip Calculation'!J34*'Other Factors'!$B$23)+('Trip Calculation'!K34*'Other Factors'!$C$23)+('Trip Calculation'!L34*'Other Factors'!$D$23))/60</f>
        <v>4159.1750000000002</v>
      </c>
      <c r="I78" s="184">
        <f>'Trip Calculation'!I78</f>
        <v>335.34557499999988</v>
      </c>
      <c r="J78" s="191">
        <f>'Trip Calculation'!J78*'Other Factors'!$E$21</f>
        <v>273582.95309624996</v>
      </c>
      <c r="K78" s="186">
        <f>'Trip Calculation'!K78*'Other Factors'!$F$21</f>
        <v>174757.89374999996</v>
      </c>
      <c r="L78" s="191">
        <f>'Trip Calculation'!L78*'Other Factors'!$G$21</f>
        <v>86139.082298749985</v>
      </c>
      <c r="M78" s="192">
        <f t="shared" si="15"/>
        <v>534479.92914499983</v>
      </c>
      <c r="N78" s="194">
        <f>M78*'Other Factors'!$B$9*'Other Factors'!$B$5</f>
        <v>4743761484.3359985</v>
      </c>
      <c r="O78" s="193">
        <f>(('Trip Calculation'!J78*'Other Factors'!$E$23)+('Trip Calculation'!K78*'Other Factors'!$F$23)+('Trip Calculation'!L78*'Other Factors'!$G$23))/60</f>
        <v>17241.288036935479</v>
      </c>
      <c r="P78" s="190">
        <f t="shared" si="16"/>
        <v>405545.50414499984</v>
      </c>
      <c r="Q78" s="194">
        <f t="shared" si="17"/>
        <v>3599407644.3359985</v>
      </c>
      <c r="R78" s="195">
        <f t="shared" si="18"/>
        <v>13082.11303693548</v>
      </c>
    </row>
    <row r="79" spans="1:18" x14ac:dyDescent="0.25">
      <c r="A79" s="5">
        <v>2046</v>
      </c>
      <c r="B79" s="184">
        <f>'Trip Calculation'!I35</f>
        <v>199.89833333333331</v>
      </c>
      <c r="C79" s="186">
        <f>'Trip Calculation'!J35*'Other Factors'!$B$21</f>
        <v>0</v>
      </c>
      <c r="D79" s="186">
        <f>'Trip Calculation'!K35*'Other Factors'!$C$21</f>
        <v>0</v>
      </c>
      <c r="E79" s="186">
        <f>'Trip Calculation'!L35*'Other Factors'!$D$21</f>
        <v>128934.42499999999</v>
      </c>
      <c r="F79" s="185">
        <f t="shared" si="14"/>
        <v>128934.42499999999</v>
      </c>
      <c r="G79" s="194">
        <f>F79*'Other Factors'!$B$9*'Other Factors'!$B$5</f>
        <v>1144353839.9999998</v>
      </c>
      <c r="H79" s="189">
        <f>(('Trip Calculation'!J35*'Other Factors'!$B$23)+('Trip Calculation'!K35*'Other Factors'!$C$23)+('Trip Calculation'!L35*'Other Factors'!$D$23))/60</f>
        <v>4159.1750000000002</v>
      </c>
      <c r="I79" s="184">
        <f>'Trip Calculation'!I79</f>
        <v>335.34557499999988</v>
      </c>
      <c r="J79" s="191">
        <f>'Trip Calculation'!J79*'Other Factors'!$E$21</f>
        <v>273582.95309624996</v>
      </c>
      <c r="K79" s="186">
        <f>'Trip Calculation'!K79*'Other Factors'!$F$21</f>
        <v>174757.89374999996</v>
      </c>
      <c r="L79" s="191">
        <f>'Trip Calculation'!L79*'Other Factors'!$G$21</f>
        <v>86139.082298749985</v>
      </c>
      <c r="M79" s="192">
        <f t="shared" si="15"/>
        <v>534479.92914499983</v>
      </c>
      <c r="N79" s="194">
        <f>M79*'Other Factors'!$B$9*'Other Factors'!$B$5</f>
        <v>4743761484.3359985</v>
      </c>
      <c r="O79" s="193">
        <f>(('Trip Calculation'!J79*'Other Factors'!$E$23)+('Trip Calculation'!K79*'Other Factors'!$F$23)+('Trip Calculation'!L79*'Other Factors'!$G$23))/60</f>
        <v>17241.288036935479</v>
      </c>
      <c r="P79" s="190">
        <f t="shared" si="16"/>
        <v>405545.50414499984</v>
      </c>
      <c r="Q79" s="194">
        <f t="shared" si="17"/>
        <v>3599407644.3359985</v>
      </c>
      <c r="R79" s="195">
        <f t="shared" si="18"/>
        <v>13082.11303693548</v>
      </c>
    </row>
    <row r="80" spans="1:18" x14ac:dyDescent="0.25">
      <c r="A80" s="5">
        <v>2047</v>
      </c>
      <c r="B80" s="184">
        <f>'Trip Calculation'!I36</f>
        <v>199.89833333333331</v>
      </c>
      <c r="C80" s="186">
        <f>'Trip Calculation'!J36*'Other Factors'!$B$21</f>
        <v>0</v>
      </c>
      <c r="D80" s="186">
        <f>'Trip Calculation'!K36*'Other Factors'!$C$21</f>
        <v>0</v>
      </c>
      <c r="E80" s="186">
        <f>'Trip Calculation'!L36*'Other Factors'!$D$21</f>
        <v>128934.42499999999</v>
      </c>
      <c r="F80" s="185">
        <f t="shared" si="14"/>
        <v>128934.42499999999</v>
      </c>
      <c r="G80" s="194">
        <f>F80*'Other Factors'!$B$9*'Other Factors'!$B$5</f>
        <v>1144353839.9999998</v>
      </c>
      <c r="H80" s="189">
        <f>(('Trip Calculation'!J36*'Other Factors'!$B$23)+('Trip Calculation'!K36*'Other Factors'!$C$23)+('Trip Calculation'!L36*'Other Factors'!$D$23))/60</f>
        <v>4159.1750000000002</v>
      </c>
      <c r="I80" s="184">
        <f>'Trip Calculation'!I80</f>
        <v>335.34557499999988</v>
      </c>
      <c r="J80" s="191">
        <f>'Trip Calculation'!J80*'Other Factors'!$E$21</f>
        <v>273582.95309624996</v>
      </c>
      <c r="K80" s="186">
        <f>'Trip Calculation'!K80*'Other Factors'!$F$21</f>
        <v>174757.89374999996</v>
      </c>
      <c r="L80" s="191">
        <f>'Trip Calculation'!L80*'Other Factors'!$G$21</f>
        <v>86139.082298749985</v>
      </c>
      <c r="M80" s="192">
        <f t="shared" si="15"/>
        <v>534479.92914499983</v>
      </c>
      <c r="N80" s="194">
        <f>M80*'Other Factors'!$B$9*'Other Factors'!$B$5</f>
        <v>4743761484.3359985</v>
      </c>
      <c r="O80" s="193">
        <f>(('Trip Calculation'!J80*'Other Factors'!$E$23)+('Trip Calculation'!K80*'Other Factors'!$F$23)+('Trip Calculation'!L80*'Other Factors'!$G$23))/60</f>
        <v>17241.288036935479</v>
      </c>
      <c r="P80" s="190">
        <f t="shared" si="16"/>
        <v>405545.50414499984</v>
      </c>
      <c r="Q80" s="194">
        <f t="shared" si="17"/>
        <v>3599407644.3359985</v>
      </c>
      <c r="R80" s="195">
        <f t="shared" si="18"/>
        <v>13082.11303693548</v>
      </c>
    </row>
    <row r="81" spans="1:18" x14ac:dyDescent="0.25">
      <c r="A81" s="5">
        <v>2048</v>
      </c>
      <c r="B81" s="184">
        <f>'Trip Calculation'!I37</f>
        <v>199.89833333333331</v>
      </c>
      <c r="C81" s="186">
        <f>'Trip Calculation'!J37*'Other Factors'!$B$21</f>
        <v>0</v>
      </c>
      <c r="D81" s="186">
        <f>'Trip Calculation'!K37*'Other Factors'!$C$21</f>
        <v>0</v>
      </c>
      <c r="E81" s="186">
        <f>'Trip Calculation'!L37*'Other Factors'!$D$21</f>
        <v>128934.42499999999</v>
      </c>
      <c r="F81" s="185">
        <f t="shared" ref="F81:F84" si="19">C81+D81+E81</f>
        <v>128934.42499999999</v>
      </c>
      <c r="G81" s="194">
        <f>F81*'Other Factors'!$B$9*'Other Factors'!$B$5</f>
        <v>1144353839.9999998</v>
      </c>
      <c r="H81" s="189">
        <f>(('Trip Calculation'!J37*'Other Factors'!$B$23)+('Trip Calculation'!K37*'Other Factors'!$C$23)+('Trip Calculation'!L37*'Other Factors'!$D$23))/60</f>
        <v>4159.1750000000002</v>
      </c>
      <c r="I81" s="184">
        <f>'Trip Calculation'!I81</f>
        <v>335.34557499999988</v>
      </c>
      <c r="J81" s="191">
        <f>'Trip Calculation'!J81*'Other Factors'!$E$21</f>
        <v>273582.95309624996</v>
      </c>
      <c r="K81" s="186">
        <f>'Trip Calculation'!K81*'Other Factors'!$F$21</f>
        <v>174757.89374999996</v>
      </c>
      <c r="L81" s="191">
        <f>'Trip Calculation'!L81*'Other Factors'!$G$21</f>
        <v>86139.082298749985</v>
      </c>
      <c r="M81" s="192">
        <f t="shared" ref="M81:M84" si="20">J81+K81+L81</f>
        <v>534479.92914499983</v>
      </c>
      <c r="N81" s="194">
        <f>M81*'Other Factors'!$B$9*'Other Factors'!$B$5</f>
        <v>4743761484.3359985</v>
      </c>
      <c r="O81" s="193">
        <f>(('Trip Calculation'!J81*'Other Factors'!$E$23)+('Trip Calculation'!K81*'Other Factors'!$F$23)+('Trip Calculation'!L81*'Other Factors'!$G$23))/60</f>
        <v>17241.288036935479</v>
      </c>
      <c r="P81" s="190">
        <f t="shared" ref="P81:P84" si="21">M81-F81</f>
        <v>405545.50414499984</v>
      </c>
      <c r="Q81" s="194">
        <f t="shared" ref="Q81:Q84" si="22">N81-G81</f>
        <v>3599407644.3359985</v>
      </c>
      <c r="R81" s="195">
        <f t="shared" ref="R81:R84" si="23">O81-H81</f>
        <v>13082.11303693548</v>
      </c>
    </row>
    <row r="82" spans="1:18" x14ac:dyDescent="0.25">
      <c r="A82" s="5">
        <v>2049</v>
      </c>
      <c r="B82" s="184">
        <f>'Trip Calculation'!I38</f>
        <v>199.89833333333331</v>
      </c>
      <c r="C82" s="186">
        <f>'Trip Calculation'!J38*'Other Factors'!$B$21</f>
        <v>0</v>
      </c>
      <c r="D82" s="186">
        <f>'Trip Calculation'!K38*'Other Factors'!$C$21</f>
        <v>0</v>
      </c>
      <c r="E82" s="186">
        <f>'Trip Calculation'!L38*'Other Factors'!$D$21</f>
        <v>128934.42499999999</v>
      </c>
      <c r="F82" s="185">
        <f t="shared" si="19"/>
        <v>128934.42499999999</v>
      </c>
      <c r="G82" s="194">
        <f>F82*'Other Factors'!$B$9*'Other Factors'!$B$5</f>
        <v>1144353839.9999998</v>
      </c>
      <c r="H82" s="189">
        <f>(('Trip Calculation'!J38*'Other Factors'!$B$23)+('Trip Calculation'!K38*'Other Factors'!$C$23)+('Trip Calculation'!L38*'Other Factors'!$D$23))/60</f>
        <v>4159.1750000000002</v>
      </c>
      <c r="I82" s="184">
        <f>'Trip Calculation'!I82</f>
        <v>335.34557499999988</v>
      </c>
      <c r="J82" s="191">
        <f>'Trip Calculation'!J82*'Other Factors'!$E$21</f>
        <v>273582.95309624996</v>
      </c>
      <c r="K82" s="186">
        <f>'Trip Calculation'!K82*'Other Factors'!$F$21</f>
        <v>174757.89374999996</v>
      </c>
      <c r="L82" s="191">
        <f>'Trip Calculation'!L82*'Other Factors'!$G$21</f>
        <v>86139.082298749985</v>
      </c>
      <c r="M82" s="192">
        <f t="shared" si="20"/>
        <v>534479.92914499983</v>
      </c>
      <c r="N82" s="194">
        <f>M82*'Other Factors'!$B$9*'Other Factors'!$B$5</f>
        <v>4743761484.3359985</v>
      </c>
      <c r="O82" s="193">
        <f>(('Trip Calculation'!J82*'Other Factors'!$E$23)+('Trip Calculation'!K82*'Other Factors'!$F$23)+('Trip Calculation'!L82*'Other Factors'!$G$23))/60</f>
        <v>17241.288036935479</v>
      </c>
      <c r="P82" s="190">
        <f t="shared" si="21"/>
        <v>405545.50414499984</v>
      </c>
      <c r="Q82" s="194">
        <f t="shared" si="22"/>
        <v>3599407644.3359985</v>
      </c>
      <c r="R82" s="195">
        <f t="shared" si="23"/>
        <v>13082.11303693548</v>
      </c>
    </row>
    <row r="83" spans="1:18" x14ac:dyDescent="0.25">
      <c r="A83" s="5">
        <v>2050</v>
      </c>
      <c r="B83" s="184">
        <f>'Trip Calculation'!I39</f>
        <v>199.89833333333331</v>
      </c>
      <c r="C83" s="186">
        <f>'Trip Calculation'!J39*'Other Factors'!$B$21</f>
        <v>0</v>
      </c>
      <c r="D83" s="186">
        <f>'Trip Calculation'!K39*'Other Factors'!$C$21</f>
        <v>0</v>
      </c>
      <c r="E83" s="186">
        <f>'Trip Calculation'!L39*'Other Factors'!$D$21</f>
        <v>128934.42499999999</v>
      </c>
      <c r="F83" s="185">
        <f t="shared" si="19"/>
        <v>128934.42499999999</v>
      </c>
      <c r="G83" s="194">
        <f>F83*'Other Factors'!$B$9*'Other Factors'!$B$5</f>
        <v>1144353839.9999998</v>
      </c>
      <c r="H83" s="189">
        <f>(('Trip Calculation'!J39*'Other Factors'!$B$23)+('Trip Calculation'!K39*'Other Factors'!$C$23)+('Trip Calculation'!L39*'Other Factors'!$D$23))/60</f>
        <v>4159.1750000000002</v>
      </c>
      <c r="I83" s="184">
        <f>'Trip Calculation'!I83</f>
        <v>335.34557499999988</v>
      </c>
      <c r="J83" s="191">
        <f>'Trip Calculation'!J83*'Other Factors'!$E$21</f>
        <v>273582.95309624996</v>
      </c>
      <c r="K83" s="186">
        <f>'Trip Calculation'!K83*'Other Factors'!$F$21</f>
        <v>174757.89374999996</v>
      </c>
      <c r="L83" s="191">
        <f>'Trip Calculation'!L83*'Other Factors'!$G$21</f>
        <v>86139.082298749985</v>
      </c>
      <c r="M83" s="192">
        <f t="shared" si="20"/>
        <v>534479.92914499983</v>
      </c>
      <c r="N83" s="194">
        <f>M83*'Other Factors'!$B$9*'Other Factors'!$B$5</f>
        <v>4743761484.3359985</v>
      </c>
      <c r="O83" s="193">
        <f>(('Trip Calculation'!J83*'Other Factors'!$E$23)+('Trip Calculation'!K83*'Other Factors'!$F$23)+('Trip Calculation'!L83*'Other Factors'!$G$23))/60</f>
        <v>17241.288036935479</v>
      </c>
      <c r="P83" s="190">
        <f t="shared" si="21"/>
        <v>405545.50414499984</v>
      </c>
      <c r="Q83" s="194">
        <f t="shared" si="22"/>
        <v>3599407644.3359985</v>
      </c>
      <c r="R83" s="195">
        <f t="shared" si="23"/>
        <v>13082.11303693548</v>
      </c>
    </row>
    <row r="84" spans="1:18" x14ac:dyDescent="0.25">
      <c r="A84" s="5">
        <v>2051</v>
      </c>
      <c r="B84" s="184">
        <f>'Trip Calculation'!I40</f>
        <v>199.89833333333331</v>
      </c>
      <c r="C84" s="186">
        <f>'Trip Calculation'!J40*'Other Factors'!$B$21</f>
        <v>0</v>
      </c>
      <c r="D84" s="186">
        <f>'Trip Calculation'!K40*'Other Factors'!$C$21</f>
        <v>0</v>
      </c>
      <c r="E84" s="186">
        <f>'Trip Calculation'!L40*'Other Factors'!$D$21</f>
        <v>128934.42499999999</v>
      </c>
      <c r="F84" s="185">
        <f t="shared" si="19"/>
        <v>128934.42499999999</v>
      </c>
      <c r="G84" s="194">
        <f>F84*'Other Factors'!$B$9*'Other Factors'!$B$5</f>
        <v>1144353839.9999998</v>
      </c>
      <c r="H84" s="189">
        <f>(('Trip Calculation'!J40*'Other Factors'!$B$23)+('Trip Calculation'!K40*'Other Factors'!$C$23)+('Trip Calculation'!L40*'Other Factors'!$D$23))/60</f>
        <v>4159.1750000000002</v>
      </c>
      <c r="I84" s="184">
        <f>'Trip Calculation'!I84</f>
        <v>335.34557499999988</v>
      </c>
      <c r="J84" s="191">
        <f>'Trip Calculation'!J84*'Other Factors'!$E$21</f>
        <v>273582.95309624996</v>
      </c>
      <c r="K84" s="186">
        <f>'Trip Calculation'!K84*'Other Factors'!$F$21</f>
        <v>174757.89374999996</v>
      </c>
      <c r="L84" s="191">
        <f>'Trip Calculation'!L84*'Other Factors'!$G$21</f>
        <v>86139.082298749985</v>
      </c>
      <c r="M84" s="192">
        <f t="shared" si="20"/>
        <v>534479.92914499983</v>
      </c>
      <c r="N84" s="194">
        <f>M84*'Other Factors'!$B$9*'Other Factors'!$B$5</f>
        <v>4743761484.3359985</v>
      </c>
      <c r="O84" s="193">
        <f>(('Trip Calculation'!J84*'Other Factors'!$E$23)+('Trip Calculation'!K84*'Other Factors'!$F$23)+('Trip Calculation'!L84*'Other Factors'!$G$23))/60</f>
        <v>17241.288036935479</v>
      </c>
      <c r="P84" s="190">
        <f t="shared" si="21"/>
        <v>405545.50414499984</v>
      </c>
      <c r="Q84" s="194">
        <f t="shared" si="22"/>
        <v>3599407644.3359985</v>
      </c>
      <c r="R84" s="195">
        <f t="shared" si="23"/>
        <v>13082.11303693548</v>
      </c>
    </row>
    <row r="85" spans="1:18" ht="15.75" thickBot="1" x14ac:dyDescent="0.3">
      <c r="A85" s="6" t="s">
        <v>2</v>
      </c>
      <c r="B85" s="7">
        <f t="shared" ref="B85:R85" si="24">SUM(B47:B84)</f>
        <v>4896.1400000000021</v>
      </c>
      <c r="C85" s="14">
        <f t="shared" si="24"/>
        <v>0</v>
      </c>
      <c r="D85" s="14">
        <f t="shared" si="24"/>
        <v>0</v>
      </c>
      <c r="E85" s="14">
        <f t="shared" si="24"/>
        <v>3158010.2999999989</v>
      </c>
      <c r="F85" s="14">
        <f t="shared" si="24"/>
        <v>3158010.2999999989</v>
      </c>
      <c r="G85" s="14">
        <f t="shared" si="24"/>
        <v>28028831039.999996</v>
      </c>
      <c r="H85" s="14">
        <f t="shared" si="24"/>
        <v>101871.30000000005</v>
      </c>
      <c r="I85" s="7">
        <f t="shared" si="24"/>
        <v>8213.6697000000022</v>
      </c>
      <c r="J85" s="8">
        <f t="shared" si="24"/>
        <v>6700908.4950150009</v>
      </c>
      <c r="K85" s="8">
        <f t="shared" si="24"/>
        <v>4280371.424999998</v>
      </c>
      <c r="L85" s="8">
        <f t="shared" si="24"/>
        <v>2109817.5226050001</v>
      </c>
      <c r="M85" s="8">
        <f t="shared" si="24"/>
        <v>13091097.442619991</v>
      </c>
      <c r="N85" s="8">
        <f t="shared" si="24"/>
        <v>116189664849.21597</v>
      </c>
      <c r="O85" s="14">
        <f t="shared" si="24"/>
        <v>422293.46589096775</v>
      </c>
      <c r="P85" s="7">
        <f t="shared" si="24"/>
        <v>9933087.1426199991</v>
      </c>
      <c r="Q85" s="10">
        <f t="shared" si="24"/>
        <v>88160833809.215973</v>
      </c>
      <c r="R85" s="9">
        <f t="shared" si="24"/>
        <v>320422.16589096759</v>
      </c>
    </row>
    <row r="86" spans="1:18" x14ac:dyDescent="0.25">
      <c r="I86" s="198"/>
      <c r="P86" s="196"/>
      <c r="Q86" s="196"/>
      <c r="R86" s="196"/>
    </row>
    <row r="87" spans="1:18" ht="30" customHeight="1" x14ac:dyDescent="0.35">
      <c r="A87" s="183"/>
      <c r="P87" s="196"/>
    </row>
    <row r="89" spans="1:18" ht="42.75" customHeight="1" x14ac:dyDescent="0.25"/>
    <row r="133" spans="13:13" ht="24.75" customHeight="1" x14ac:dyDescent="0.25"/>
    <row r="134" spans="13:13" x14ac:dyDescent="0.25">
      <c r="M134" s="199"/>
    </row>
    <row r="176" spans="13:15" x14ac:dyDescent="0.25">
      <c r="M176" s="200"/>
      <c r="N176" s="200"/>
      <c r="O176" s="200"/>
    </row>
    <row r="179" spans="5:9" ht="34.5" customHeight="1" x14ac:dyDescent="0.25"/>
    <row r="180" spans="5:9" x14ac:dyDescent="0.25">
      <c r="E180" s="199"/>
      <c r="H180" s="199"/>
      <c r="I180" s="199"/>
    </row>
  </sheetData>
  <mergeCells count="8">
    <mergeCell ref="I45:O45"/>
    <mergeCell ref="P2:R2"/>
    <mergeCell ref="A2:A3"/>
    <mergeCell ref="A45:A46"/>
    <mergeCell ref="B2:H2"/>
    <mergeCell ref="I2:O2"/>
    <mergeCell ref="B45:H45"/>
    <mergeCell ref="P45:R4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70" zoomScaleNormal="70" workbookViewId="0">
      <selection sqref="A1:E1"/>
    </sheetView>
  </sheetViews>
  <sheetFormatPr defaultColWidth="8.85546875" defaultRowHeight="15" x14ac:dyDescent="0.25"/>
  <cols>
    <col min="1" max="1" width="28.28515625" style="3" bestFit="1" customWidth="1"/>
    <col min="2" max="3" width="28.28515625" style="3" customWidth="1"/>
    <col min="4" max="5" width="25.7109375" style="3" customWidth="1"/>
    <col min="6" max="6" width="15.7109375" style="3" bestFit="1" customWidth="1"/>
    <col min="7" max="7" width="11.5703125" style="3" bestFit="1" customWidth="1"/>
    <col min="8" max="8" width="12.7109375" style="3" bestFit="1" customWidth="1"/>
    <col min="9" max="9" width="14.140625" style="3" bestFit="1" customWidth="1"/>
    <col min="10" max="10" width="15.7109375" style="3" bestFit="1" customWidth="1"/>
    <col min="11" max="11" width="12.5703125" style="3" bestFit="1" customWidth="1"/>
    <col min="12" max="13" width="17.85546875" style="3" bestFit="1" customWidth="1"/>
    <col min="14" max="16384" width="8.85546875" style="3"/>
  </cols>
  <sheetData>
    <row r="1" spans="1:13" ht="27" customHeight="1" thickBot="1" x14ac:dyDescent="0.3">
      <c r="A1" s="503" t="s">
        <v>241</v>
      </c>
      <c r="B1" s="504"/>
      <c r="C1" s="504"/>
      <c r="D1" s="504"/>
      <c r="E1" s="504"/>
      <c r="F1" s="307"/>
      <c r="G1" s="307"/>
      <c r="H1" s="307"/>
      <c r="I1" s="307"/>
      <c r="J1" s="307"/>
      <c r="K1" s="307"/>
      <c r="L1" s="308"/>
      <c r="M1" s="309"/>
    </row>
    <row r="2" spans="1:13" s="30" customFormat="1" ht="48.75" customHeight="1" x14ac:dyDescent="0.25">
      <c r="A2" s="310" t="s">
        <v>3</v>
      </c>
      <c r="B2" s="311" t="s">
        <v>231</v>
      </c>
      <c r="C2" s="172" t="s">
        <v>232</v>
      </c>
      <c r="D2" s="171" t="s">
        <v>77</v>
      </c>
      <c r="E2" s="311" t="s">
        <v>315</v>
      </c>
    </row>
    <row r="3" spans="1:13" s="30" customFormat="1" x14ac:dyDescent="0.25">
      <c r="A3" s="39">
        <v>2014</v>
      </c>
      <c r="B3" s="179">
        <f>'VMT Ton-Mile Driver Time'!G4*'Monetized Values and Factors'!$M$6+'VMT Ton-Mile Driver Time'!G47*'Monetized Values and Factors'!$O$6</f>
        <v>0</v>
      </c>
      <c r="C3" s="166">
        <f>'VMT Ton-Mile Driver Time'!N4*'Monetized Values and Factors'!$M$6+'VMT Ton-Mile Driver Time'!N47*'Monetized Values and Factors'!$O$6</f>
        <v>0</v>
      </c>
      <c r="D3" s="176">
        <f>C3-B3</f>
        <v>0</v>
      </c>
      <c r="E3" s="235">
        <f>D3*InflationAdjustment!$C$17</f>
        <v>0</v>
      </c>
    </row>
    <row r="4" spans="1:13" x14ac:dyDescent="0.25">
      <c r="A4" s="39">
        <v>2015</v>
      </c>
      <c r="B4" s="179">
        <f>'VMT Ton-Mile Driver Time'!G5*'Monetized Values and Factors'!$M$6+'VMT Ton-Mile Driver Time'!G48*'Monetized Values and Factors'!$O$6</f>
        <v>0</v>
      </c>
      <c r="C4" s="166">
        <f>'VMT Ton-Mile Driver Time'!N5*'Monetized Values and Factors'!$M$6+'VMT Ton-Mile Driver Time'!N48*'Monetized Values and Factors'!$O$6</f>
        <v>0</v>
      </c>
      <c r="D4" s="176">
        <f>C4-B4</f>
        <v>0</v>
      </c>
      <c r="E4" s="235">
        <f>D4*InflationAdjustment!$C$17</f>
        <v>0</v>
      </c>
    </row>
    <row r="5" spans="1:13" x14ac:dyDescent="0.25">
      <c r="A5" s="39">
        <v>2016</v>
      </c>
      <c r="B5" s="179">
        <f>'VMT Ton-Mile Driver Time'!G6*'Monetized Values and Factors'!$M$6+'VMT Ton-Mile Driver Time'!G49*'Monetized Values and Factors'!$O$6</f>
        <v>0</v>
      </c>
      <c r="C5" s="166">
        <f>'VMT Ton-Mile Driver Time'!N6*'Monetized Values and Factors'!$M$6+'VMT Ton-Mile Driver Time'!N49*'Monetized Values and Factors'!$O$6</f>
        <v>0</v>
      </c>
      <c r="D5" s="176">
        <f t="shared" ref="D5:D40" si="0">C5-B5</f>
        <v>0</v>
      </c>
      <c r="E5" s="235">
        <f>D5*InflationAdjustment!$C$17</f>
        <v>0</v>
      </c>
    </row>
    <row r="6" spans="1:13" x14ac:dyDescent="0.25">
      <c r="A6" s="39">
        <v>2017</v>
      </c>
      <c r="B6" s="179">
        <f>'VMT Ton-Mile Driver Time'!G7*'Monetized Values and Factors'!$M$6+'VMT Ton-Mile Driver Time'!G50*'Monetized Values and Factors'!$O$6</f>
        <v>0</v>
      </c>
      <c r="C6" s="166">
        <f>'VMT Ton-Mile Driver Time'!N7*'Monetized Values and Factors'!$M$6+'VMT Ton-Mile Driver Time'!N50*'Monetized Values and Factors'!$O$6</f>
        <v>0</v>
      </c>
      <c r="D6" s="176">
        <f t="shared" si="0"/>
        <v>0</v>
      </c>
      <c r="E6" s="235">
        <f>D6*InflationAdjustment!$C$17</f>
        <v>0</v>
      </c>
    </row>
    <row r="7" spans="1:13" x14ac:dyDescent="0.25">
      <c r="A7" s="39">
        <v>2018</v>
      </c>
      <c r="B7" s="179">
        <f>'VMT Ton-Mile Driver Time'!G8*'Monetized Values and Factors'!$M$6+'VMT Ton-Mile Driver Time'!G51*'Monetized Values and Factors'!$O$6</f>
        <v>0</v>
      </c>
      <c r="C7" s="166">
        <f>'VMT Ton-Mile Driver Time'!N8*'Monetized Values and Factors'!$M$6+'VMT Ton-Mile Driver Time'!N51*'Monetized Values and Factors'!$O$6</f>
        <v>0</v>
      </c>
      <c r="D7" s="176">
        <f t="shared" si="0"/>
        <v>0</v>
      </c>
      <c r="E7" s="235">
        <f>D7*InflationAdjustment!$C$17</f>
        <v>0</v>
      </c>
    </row>
    <row r="8" spans="1:13" x14ac:dyDescent="0.25">
      <c r="A8" s="39">
        <v>2019</v>
      </c>
      <c r="B8" s="179">
        <f>'VMT Ton-Mile Driver Time'!G9*'Monetized Values and Factors'!$M$6+'VMT Ton-Mile Driver Time'!G52*'Monetized Values and Factors'!$O$6</f>
        <v>0</v>
      </c>
      <c r="C8" s="166">
        <f>'VMT Ton-Mile Driver Time'!N9*'Monetized Values and Factors'!$M$6+'VMT Ton-Mile Driver Time'!N52*'Monetized Values and Factors'!$O$6</f>
        <v>0</v>
      </c>
      <c r="D8" s="176">
        <f t="shared" si="0"/>
        <v>0</v>
      </c>
      <c r="E8" s="235">
        <f>D8*InflationAdjustment!$C$17</f>
        <v>0</v>
      </c>
    </row>
    <row r="9" spans="1:13" x14ac:dyDescent="0.25">
      <c r="A9" s="39">
        <v>2020</v>
      </c>
      <c r="B9" s="179">
        <f>'VMT Ton-Mile Driver Time'!G10*'Monetized Values and Factors'!$M$6+'VMT Ton-Mile Driver Time'!G53*'Monetized Values and Factors'!$O$6</f>
        <v>0</v>
      </c>
      <c r="C9" s="166">
        <f>'VMT Ton-Mile Driver Time'!N10*'Monetized Values and Factors'!$M$6+'VMT Ton-Mile Driver Time'!N53*'Monetized Values and Factors'!$O$6</f>
        <v>0</v>
      </c>
      <c r="D9" s="176">
        <f t="shared" si="0"/>
        <v>0</v>
      </c>
      <c r="E9" s="235">
        <f>D9*InflationAdjustment!$C$17</f>
        <v>0</v>
      </c>
    </row>
    <row r="10" spans="1:13" x14ac:dyDescent="0.25">
      <c r="A10" s="39">
        <v>2021</v>
      </c>
      <c r="B10" s="179">
        <f>'VMT Ton-Mile Driver Time'!G11*'Monetized Values and Factors'!$M$6+'VMT Ton-Mile Driver Time'!G54*'Monetized Values and Factors'!$O$6</f>
        <v>0</v>
      </c>
      <c r="C10" s="166">
        <f>'VMT Ton-Mile Driver Time'!N11*'Monetized Values and Factors'!$M$6+'VMT Ton-Mile Driver Time'!N54*'Monetized Values and Factors'!$O$6</f>
        <v>0</v>
      </c>
      <c r="D10" s="176">
        <f t="shared" si="0"/>
        <v>0</v>
      </c>
      <c r="E10" s="235">
        <f>D10*InflationAdjustment!$C$17</f>
        <v>0</v>
      </c>
    </row>
    <row r="11" spans="1:13" x14ac:dyDescent="0.25">
      <c r="A11" s="39">
        <v>2022</v>
      </c>
      <c r="B11" s="179">
        <f>'VMT Ton-Mile Driver Time'!G12*'Monetized Values and Factors'!$M$6+'VMT Ton-Mile Driver Time'!G55*'Monetized Values and Factors'!$O$6</f>
        <v>867195.27</v>
      </c>
      <c r="C11" s="166">
        <f>'VMT Ton-Mile Driver Time'!N12*'Monetized Values and Factors'!$M$6+'VMT Ton-Mile Driver Time'!N55*'Monetized Values and Factors'!$O$6</f>
        <v>2314326.5976880006</v>
      </c>
      <c r="D11" s="176">
        <f>C11-B11</f>
        <v>1447131.3276880006</v>
      </c>
      <c r="E11" s="235">
        <f>D11*InflationAdjustment!$C$17</f>
        <v>1508200.2697164342</v>
      </c>
    </row>
    <row r="12" spans="1:13" x14ac:dyDescent="0.25">
      <c r="A12" s="39">
        <v>2023</v>
      </c>
      <c r="B12" s="179">
        <f>'VMT Ton-Mile Driver Time'!G13*'Monetized Values and Factors'!$M$6+'VMT Ton-Mile Driver Time'!G56*'Monetized Values and Factors'!$O$6</f>
        <v>1734390.54</v>
      </c>
      <c r="C12" s="166">
        <f>'VMT Ton-Mile Driver Time'!N13*'Monetized Values and Factors'!$M$6+'VMT Ton-Mile Driver Time'!N56*'Monetized Values and Factors'!$O$6</f>
        <v>4628653.1953760013</v>
      </c>
      <c r="D12" s="176">
        <f t="shared" si="0"/>
        <v>2894262.6553760013</v>
      </c>
      <c r="E12" s="235">
        <f>D12*InflationAdjustment!$C$17</f>
        <v>3016400.5394328684</v>
      </c>
    </row>
    <row r="13" spans="1:13" x14ac:dyDescent="0.25">
      <c r="A13" s="39">
        <v>2024</v>
      </c>
      <c r="B13" s="179">
        <f>'VMT Ton-Mile Driver Time'!G14*'Monetized Values and Factors'!$M$6+'VMT Ton-Mile Driver Time'!G57*'Monetized Values and Factors'!$O$6</f>
        <v>2601585.8100000005</v>
      </c>
      <c r="C13" s="166">
        <f>'VMT Ton-Mile Driver Time'!N14*'Monetized Values and Factors'!$M$6+'VMT Ton-Mile Driver Time'!N57*'Monetized Values and Factors'!$O$6</f>
        <v>6942979.793064001</v>
      </c>
      <c r="D13" s="176">
        <f t="shared" si="0"/>
        <v>4341393.9830640005</v>
      </c>
      <c r="E13" s="235">
        <f>D13*InflationAdjustment!$C$17</f>
        <v>4524600.8091493016</v>
      </c>
    </row>
    <row r="14" spans="1:13" x14ac:dyDescent="0.25">
      <c r="A14" s="39">
        <v>2025</v>
      </c>
      <c r="B14" s="179">
        <f>'VMT Ton-Mile Driver Time'!G15*'Monetized Values and Factors'!$M$6+'VMT Ton-Mile Driver Time'!G58*'Monetized Values and Factors'!$O$6</f>
        <v>3468781.08</v>
      </c>
      <c r="C14" s="166">
        <f>'VMT Ton-Mile Driver Time'!N15*'Monetized Values and Factors'!$M$6+'VMT Ton-Mile Driver Time'!N58*'Monetized Values and Factors'!$O$6</f>
        <v>9257306.3907520026</v>
      </c>
      <c r="D14" s="176">
        <f t="shared" si="0"/>
        <v>5788525.3107520025</v>
      </c>
      <c r="E14" s="235">
        <f>D14*InflationAdjustment!$C$17</f>
        <v>6032801.0788657367</v>
      </c>
    </row>
    <row r="15" spans="1:13" x14ac:dyDescent="0.25">
      <c r="A15" s="39">
        <v>2026</v>
      </c>
      <c r="B15" s="179">
        <f>'VMT Ton-Mile Driver Time'!G16*'Monetized Values and Factors'!$M$6+'VMT Ton-Mile Driver Time'!G59*'Monetized Values and Factors'!$O$6</f>
        <v>4335976.3500000006</v>
      </c>
      <c r="C15" s="166">
        <f>'VMT Ton-Mile Driver Time'!N16*'Monetized Values and Factors'!$M$6+'VMT Ton-Mile Driver Time'!N59*'Monetized Values and Factors'!$O$6</f>
        <v>11571632.98844</v>
      </c>
      <c r="D15" s="176">
        <f t="shared" si="0"/>
        <v>7235656.638439999</v>
      </c>
      <c r="E15" s="235">
        <f>D15*InflationAdjustment!$C$17</f>
        <v>7541001.3485821672</v>
      </c>
    </row>
    <row r="16" spans="1:13" x14ac:dyDescent="0.25">
      <c r="A16" s="39">
        <v>2027</v>
      </c>
      <c r="B16" s="179">
        <f>'VMT Ton-Mile Driver Time'!G17*'Monetized Values and Factors'!$M$6+'VMT Ton-Mile Driver Time'!G60*'Monetized Values and Factors'!$O$6</f>
        <v>5203171.620000001</v>
      </c>
      <c r="C16" s="166">
        <f>'VMT Ton-Mile Driver Time'!N17*'Monetized Values and Factors'!$M$6+'VMT Ton-Mile Driver Time'!N60*'Monetized Values and Factors'!$O$6</f>
        <v>13885959.586128002</v>
      </c>
      <c r="D16" s="176">
        <f t="shared" si="0"/>
        <v>8682787.966128001</v>
      </c>
      <c r="E16" s="235">
        <f>D16*InflationAdjustment!$C$17</f>
        <v>9049201.6182986032</v>
      </c>
    </row>
    <row r="17" spans="1:5" x14ac:dyDescent="0.25">
      <c r="A17" s="39">
        <v>2028</v>
      </c>
      <c r="B17" s="179">
        <f>'VMT Ton-Mile Driver Time'!G18*'Monetized Values and Factors'!$M$6+'VMT Ton-Mile Driver Time'!G61*'Monetized Values and Factors'!$O$6</f>
        <v>6937562.1600000001</v>
      </c>
      <c r="C17" s="166">
        <f>'VMT Ton-Mile Driver Time'!N18*'Monetized Values and Factors'!$M$6+'VMT Ton-Mile Driver Time'!N61*'Monetized Values and Factors'!$O$6</f>
        <v>18514612.781504005</v>
      </c>
      <c r="D17" s="176">
        <f t="shared" si="0"/>
        <v>11577050.621504005</v>
      </c>
      <c r="E17" s="235">
        <f>D17*InflationAdjustment!$C$17</f>
        <v>12065602.157731473</v>
      </c>
    </row>
    <row r="18" spans="1:5" x14ac:dyDescent="0.25">
      <c r="A18" s="39">
        <v>2029</v>
      </c>
      <c r="B18" s="179">
        <f>'VMT Ton-Mile Driver Time'!G19*'Monetized Values and Factors'!$M$6+'VMT Ton-Mile Driver Time'!G62*'Monetized Values and Factors'!$O$6</f>
        <v>8671952.7000000011</v>
      </c>
      <c r="C18" s="166">
        <f>'VMT Ton-Mile Driver Time'!N19*'Monetized Values and Factors'!$M$6+'VMT Ton-Mile Driver Time'!N62*'Monetized Values and Factors'!$O$6</f>
        <v>23143265.976879999</v>
      </c>
      <c r="D18" s="176">
        <f t="shared" si="0"/>
        <v>14471313.276879998</v>
      </c>
      <c r="E18" s="235">
        <f>D18*InflationAdjustment!$C$17</f>
        <v>15082002.697164334</v>
      </c>
    </row>
    <row r="19" spans="1:5" x14ac:dyDescent="0.25">
      <c r="A19" s="39">
        <v>2030</v>
      </c>
      <c r="B19" s="179">
        <f>'VMT Ton-Mile Driver Time'!G20*'Monetized Values and Factors'!$M$6+'VMT Ton-Mile Driver Time'!G63*'Monetized Values and Factors'!$O$6</f>
        <v>10406343.240000002</v>
      </c>
      <c r="C19" s="166">
        <f>'VMT Ton-Mile Driver Time'!N20*'Monetized Values and Factors'!$M$6+'VMT Ton-Mile Driver Time'!N63*'Monetized Values and Factors'!$O$6</f>
        <v>27771919.172256004</v>
      </c>
      <c r="D19" s="176">
        <f t="shared" si="0"/>
        <v>17365575.932256002</v>
      </c>
      <c r="E19" s="235">
        <f>D19*InflationAdjustment!$C$17</f>
        <v>18098403.236597206</v>
      </c>
    </row>
    <row r="20" spans="1:5" x14ac:dyDescent="0.25">
      <c r="A20" s="39">
        <v>2031</v>
      </c>
      <c r="B20" s="179">
        <f>'VMT Ton-Mile Driver Time'!G21*'Monetized Values and Factors'!$M$6+'VMT Ton-Mile Driver Time'!G64*'Monetized Values and Factors'!$O$6</f>
        <v>12661050.941999998</v>
      </c>
      <c r="C20" s="166">
        <f>'VMT Ton-Mile Driver Time'!N21*'Monetized Values and Factors'!$M$6+'VMT Ton-Mile Driver Time'!N64*'Monetized Values and Factors'!$O$6</f>
        <v>33789168.326244801</v>
      </c>
      <c r="D20" s="176">
        <f t="shared" si="0"/>
        <v>21128117.384244803</v>
      </c>
      <c r="E20" s="320">
        <f>D20*InflationAdjustment!$C$17</f>
        <v>22019723.937859934</v>
      </c>
    </row>
    <row r="21" spans="1:5" x14ac:dyDescent="0.25">
      <c r="A21" s="39">
        <v>2032</v>
      </c>
      <c r="B21" s="179">
        <f>'VMT Ton-Mile Driver Time'!G22*'Monetized Values and Factors'!$M$6+'VMT Ton-Mile Driver Time'!G65*'Monetized Values and Factors'!$O$6</f>
        <v>12661050.941999998</v>
      </c>
      <c r="C21" s="166">
        <f>'VMT Ton-Mile Driver Time'!N22*'Monetized Values and Factors'!$M$6+'VMT Ton-Mile Driver Time'!N65*'Monetized Values and Factors'!$O$6</f>
        <v>33789168.326244801</v>
      </c>
      <c r="D21" s="176">
        <f t="shared" si="0"/>
        <v>21128117.384244803</v>
      </c>
      <c r="E21" s="320">
        <f>D21*InflationAdjustment!$C$17</f>
        <v>22019723.937859934</v>
      </c>
    </row>
    <row r="22" spans="1:5" x14ac:dyDescent="0.25">
      <c r="A22" s="39">
        <v>2033</v>
      </c>
      <c r="B22" s="179">
        <f>'VMT Ton-Mile Driver Time'!G23*'Monetized Values and Factors'!$M$6+'VMT Ton-Mile Driver Time'!G66*'Monetized Values and Factors'!$O$6</f>
        <v>12661050.941999998</v>
      </c>
      <c r="C22" s="166">
        <f>'VMT Ton-Mile Driver Time'!N23*'Monetized Values and Factors'!$M$6+'VMT Ton-Mile Driver Time'!N66*'Monetized Values and Factors'!$O$6</f>
        <v>33789168.326244801</v>
      </c>
      <c r="D22" s="176">
        <f t="shared" si="0"/>
        <v>21128117.384244803</v>
      </c>
      <c r="E22" s="320">
        <f>D22*InflationAdjustment!$C$17</f>
        <v>22019723.937859934</v>
      </c>
    </row>
    <row r="23" spans="1:5" x14ac:dyDescent="0.25">
      <c r="A23" s="39">
        <v>2034</v>
      </c>
      <c r="B23" s="179">
        <f>'VMT Ton-Mile Driver Time'!G24*'Monetized Values and Factors'!$M$6+'VMT Ton-Mile Driver Time'!G67*'Monetized Values and Factors'!$O$6</f>
        <v>12661050.941999998</v>
      </c>
      <c r="C23" s="166">
        <f>'VMT Ton-Mile Driver Time'!N24*'Monetized Values and Factors'!$M$6+'VMT Ton-Mile Driver Time'!N67*'Monetized Values and Factors'!$O$6</f>
        <v>33789168.326244801</v>
      </c>
      <c r="D23" s="176">
        <f t="shared" si="0"/>
        <v>21128117.384244803</v>
      </c>
      <c r="E23" s="320">
        <f>D23*InflationAdjustment!$C$17</f>
        <v>22019723.937859934</v>
      </c>
    </row>
    <row r="24" spans="1:5" x14ac:dyDescent="0.25">
      <c r="A24" s="39">
        <v>2035</v>
      </c>
      <c r="B24" s="179">
        <f>'VMT Ton-Mile Driver Time'!G25*'Monetized Values and Factors'!$M$6+'VMT Ton-Mile Driver Time'!G68*'Monetized Values and Factors'!$O$6</f>
        <v>12661050.941999998</v>
      </c>
      <c r="C24" s="166">
        <f>'VMT Ton-Mile Driver Time'!N25*'Monetized Values and Factors'!$M$6+'VMT Ton-Mile Driver Time'!N68*'Monetized Values and Factors'!$O$6</f>
        <v>33789168.326244801</v>
      </c>
      <c r="D24" s="176">
        <f t="shared" si="0"/>
        <v>21128117.384244803</v>
      </c>
      <c r="E24" s="235">
        <f>D24*InflationAdjustment!$C$17</f>
        <v>22019723.937859934</v>
      </c>
    </row>
    <row r="25" spans="1:5" x14ac:dyDescent="0.25">
      <c r="A25" s="39">
        <v>2036</v>
      </c>
      <c r="B25" s="179">
        <f>'VMT Ton-Mile Driver Time'!G26*'Monetized Values and Factors'!$M$6+'VMT Ton-Mile Driver Time'!G69*'Monetized Values and Factors'!$O$6</f>
        <v>12661050.941999998</v>
      </c>
      <c r="C25" s="166">
        <f>'VMT Ton-Mile Driver Time'!N26*'Monetized Values and Factors'!$M$6+'VMT Ton-Mile Driver Time'!N69*'Monetized Values and Factors'!$O$6</f>
        <v>33789168.326244801</v>
      </c>
      <c r="D25" s="176">
        <f t="shared" si="0"/>
        <v>21128117.384244803</v>
      </c>
      <c r="E25" s="235">
        <f>D25*InflationAdjustment!$C$17</f>
        <v>22019723.937859934</v>
      </c>
    </row>
    <row r="26" spans="1:5" x14ac:dyDescent="0.25">
      <c r="A26" s="39">
        <v>2037</v>
      </c>
      <c r="B26" s="179">
        <f>'VMT Ton-Mile Driver Time'!G27*'Monetized Values and Factors'!$M$6+'VMT Ton-Mile Driver Time'!G70*'Monetized Values and Factors'!$O$6</f>
        <v>12661050.941999998</v>
      </c>
      <c r="C26" s="166">
        <f>'VMT Ton-Mile Driver Time'!N27*'Monetized Values and Factors'!$M$6+'VMT Ton-Mile Driver Time'!N70*'Monetized Values and Factors'!$O$6</f>
        <v>33789168.326244801</v>
      </c>
      <c r="D26" s="176">
        <f t="shared" si="0"/>
        <v>21128117.384244803</v>
      </c>
      <c r="E26" s="235">
        <f>D26*InflationAdjustment!$C$17</f>
        <v>22019723.937859934</v>
      </c>
    </row>
    <row r="27" spans="1:5" x14ac:dyDescent="0.25">
      <c r="A27" s="39">
        <v>2038</v>
      </c>
      <c r="B27" s="179">
        <f>'VMT Ton-Mile Driver Time'!G28*'Monetized Values and Factors'!$M$6+'VMT Ton-Mile Driver Time'!G71*'Monetized Values and Factors'!$O$6</f>
        <v>12661050.941999998</v>
      </c>
      <c r="C27" s="166">
        <f>'VMT Ton-Mile Driver Time'!N28*'Monetized Values and Factors'!$M$6+'VMT Ton-Mile Driver Time'!N71*'Monetized Values and Factors'!$O$6</f>
        <v>33789168.326244801</v>
      </c>
      <c r="D27" s="176">
        <f t="shared" si="0"/>
        <v>21128117.384244803</v>
      </c>
      <c r="E27" s="235">
        <f>D27*InflationAdjustment!$C$17</f>
        <v>22019723.937859934</v>
      </c>
    </row>
    <row r="28" spans="1:5" x14ac:dyDescent="0.25">
      <c r="A28" s="39">
        <v>2039</v>
      </c>
      <c r="B28" s="179">
        <f>'VMT Ton-Mile Driver Time'!G29*'Monetized Values and Factors'!$M$6+'VMT Ton-Mile Driver Time'!G72*'Monetized Values and Factors'!$O$6</f>
        <v>12661050.941999998</v>
      </c>
      <c r="C28" s="166">
        <f>'VMT Ton-Mile Driver Time'!N29*'Monetized Values and Factors'!$M$6+'VMT Ton-Mile Driver Time'!N72*'Monetized Values and Factors'!$O$6</f>
        <v>33789168.326244801</v>
      </c>
      <c r="D28" s="176">
        <f t="shared" si="0"/>
        <v>21128117.384244803</v>
      </c>
      <c r="E28" s="235">
        <f>D28*InflationAdjustment!$C$17</f>
        <v>22019723.937859934</v>
      </c>
    </row>
    <row r="29" spans="1:5" x14ac:dyDescent="0.25">
      <c r="A29" s="39">
        <v>2040</v>
      </c>
      <c r="B29" s="179">
        <f>'VMT Ton-Mile Driver Time'!G30*'Monetized Values and Factors'!$M$6+'VMT Ton-Mile Driver Time'!G73*'Monetized Values and Factors'!$O$6</f>
        <v>12661050.941999998</v>
      </c>
      <c r="C29" s="166">
        <f>'VMT Ton-Mile Driver Time'!N30*'Monetized Values and Factors'!$M$6+'VMT Ton-Mile Driver Time'!N73*'Monetized Values and Factors'!$O$6</f>
        <v>33789168.326244801</v>
      </c>
      <c r="D29" s="176">
        <f t="shared" si="0"/>
        <v>21128117.384244803</v>
      </c>
      <c r="E29" s="235">
        <f>D29*InflationAdjustment!$C$17</f>
        <v>22019723.937859934</v>
      </c>
    </row>
    <row r="30" spans="1:5" x14ac:dyDescent="0.25">
      <c r="A30" s="39">
        <v>2041</v>
      </c>
      <c r="B30" s="179">
        <f>'VMT Ton-Mile Driver Time'!G31*'Monetized Values and Factors'!$M$6+'VMT Ton-Mile Driver Time'!G74*'Monetized Values and Factors'!$O$6</f>
        <v>12661050.941999998</v>
      </c>
      <c r="C30" s="166">
        <f>'VMT Ton-Mile Driver Time'!N31*'Monetized Values and Factors'!$M$6+'VMT Ton-Mile Driver Time'!N74*'Monetized Values and Factors'!$O$6</f>
        <v>33789168.326244801</v>
      </c>
      <c r="D30" s="176">
        <f t="shared" si="0"/>
        <v>21128117.384244803</v>
      </c>
      <c r="E30" s="235">
        <f>D30*InflationAdjustment!$C$17</f>
        <v>22019723.937859934</v>
      </c>
    </row>
    <row r="31" spans="1:5" x14ac:dyDescent="0.25">
      <c r="A31" s="39">
        <v>2042</v>
      </c>
      <c r="B31" s="179">
        <f>'VMT Ton-Mile Driver Time'!G32*'Monetized Values and Factors'!$M$6+'VMT Ton-Mile Driver Time'!G75*'Monetized Values and Factors'!$O$6</f>
        <v>12661050.941999998</v>
      </c>
      <c r="C31" s="166">
        <f>'VMT Ton-Mile Driver Time'!N32*'Monetized Values and Factors'!$M$6+'VMT Ton-Mile Driver Time'!N75*'Monetized Values and Factors'!$O$6</f>
        <v>33789168.326244801</v>
      </c>
      <c r="D31" s="176">
        <f t="shared" si="0"/>
        <v>21128117.384244803</v>
      </c>
      <c r="E31" s="235">
        <f>D31*InflationAdjustment!$C$17</f>
        <v>22019723.937859934</v>
      </c>
    </row>
    <row r="32" spans="1:5" x14ac:dyDescent="0.25">
      <c r="A32" s="39">
        <v>2043</v>
      </c>
      <c r="B32" s="179">
        <f>'VMT Ton-Mile Driver Time'!G33*'Monetized Values and Factors'!$M$6+'VMT Ton-Mile Driver Time'!G76*'Monetized Values and Factors'!$O$6</f>
        <v>12661050.941999998</v>
      </c>
      <c r="C32" s="166">
        <f>'VMT Ton-Mile Driver Time'!N33*'Monetized Values and Factors'!$M$6+'VMT Ton-Mile Driver Time'!N76*'Monetized Values and Factors'!$O$6</f>
        <v>33789168.326244801</v>
      </c>
      <c r="D32" s="176">
        <f t="shared" si="0"/>
        <v>21128117.384244803</v>
      </c>
      <c r="E32" s="235">
        <f>D32*InflationAdjustment!$C$17</f>
        <v>22019723.937859934</v>
      </c>
    </row>
    <row r="33" spans="1:6" x14ac:dyDescent="0.25">
      <c r="A33" s="39">
        <v>2044</v>
      </c>
      <c r="B33" s="179">
        <f>'VMT Ton-Mile Driver Time'!G34*'Monetized Values and Factors'!$M$6+'VMT Ton-Mile Driver Time'!G77*'Monetized Values and Factors'!$O$6</f>
        <v>12661050.941999998</v>
      </c>
      <c r="C33" s="166">
        <f>'VMT Ton-Mile Driver Time'!N34*'Monetized Values and Factors'!$M$6+'VMT Ton-Mile Driver Time'!N77*'Monetized Values and Factors'!$O$6</f>
        <v>33789168.326244801</v>
      </c>
      <c r="D33" s="176">
        <f t="shared" si="0"/>
        <v>21128117.384244803</v>
      </c>
      <c r="E33" s="235">
        <f>D33*InflationAdjustment!$C$17</f>
        <v>22019723.937859934</v>
      </c>
    </row>
    <row r="34" spans="1:6" x14ac:dyDescent="0.25">
      <c r="A34" s="39">
        <v>2045</v>
      </c>
      <c r="B34" s="179">
        <f>'VMT Ton-Mile Driver Time'!G35*'Monetized Values and Factors'!$M$6+'VMT Ton-Mile Driver Time'!G78*'Monetized Values and Factors'!$O$6</f>
        <v>12661050.941999998</v>
      </c>
      <c r="C34" s="166">
        <f>'VMT Ton-Mile Driver Time'!N35*'Monetized Values and Factors'!$M$6+'VMT Ton-Mile Driver Time'!N78*'Monetized Values and Factors'!$O$6</f>
        <v>33789168.326244801</v>
      </c>
      <c r="D34" s="176">
        <f t="shared" si="0"/>
        <v>21128117.384244803</v>
      </c>
      <c r="E34" s="235">
        <f>D34*InflationAdjustment!$C$17</f>
        <v>22019723.937859934</v>
      </c>
    </row>
    <row r="35" spans="1:6" x14ac:dyDescent="0.25">
      <c r="A35" s="39">
        <v>2046</v>
      </c>
      <c r="B35" s="179">
        <f>'VMT Ton-Mile Driver Time'!G36*'Monetized Values and Factors'!$M$6+'VMT Ton-Mile Driver Time'!G79*'Monetized Values and Factors'!$O$6</f>
        <v>12661050.941999998</v>
      </c>
      <c r="C35" s="166">
        <f>'VMT Ton-Mile Driver Time'!N36*'Monetized Values and Factors'!$M$6+'VMT Ton-Mile Driver Time'!N79*'Monetized Values and Factors'!$O$6</f>
        <v>33789168.326244801</v>
      </c>
      <c r="D35" s="176">
        <f t="shared" si="0"/>
        <v>21128117.384244803</v>
      </c>
      <c r="E35" s="235">
        <f>D35*InflationAdjustment!$C$17</f>
        <v>22019723.937859934</v>
      </c>
    </row>
    <row r="36" spans="1:6" x14ac:dyDescent="0.25">
      <c r="A36" s="39">
        <v>2047</v>
      </c>
      <c r="B36" s="179">
        <f>'VMT Ton-Mile Driver Time'!G37*'Monetized Values and Factors'!$M$6+'VMT Ton-Mile Driver Time'!G80*'Monetized Values and Factors'!$O$6</f>
        <v>12661050.941999998</v>
      </c>
      <c r="C36" s="166">
        <f>'VMT Ton-Mile Driver Time'!N37*'Monetized Values and Factors'!$M$6+'VMT Ton-Mile Driver Time'!N80*'Monetized Values and Factors'!$O$6</f>
        <v>33789168.326244801</v>
      </c>
      <c r="D36" s="176">
        <f t="shared" si="0"/>
        <v>21128117.384244803</v>
      </c>
      <c r="E36" s="235">
        <f>D36*InflationAdjustment!$C$17</f>
        <v>22019723.937859934</v>
      </c>
    </row>
    <row r="37" spans="1:6" x14ac:dyDescent="0.25">
      <c r="A37" s="39">
        <v>2048</v>
      </c>
      <c r="B37" s="179">
        <f>'VMT Ton-Mile Driver Time'!G38*'Monetized Values and Factors'!$M$6+'VMT Ton-Mile Driver Time'!G81*'Monetized Values and Factors'!$O$6</f>
        <v>12661050.941999998</v>
      </c>
      <c r="C37" s="166">
        <f>'VMT Ton-Mile Driver Time'!N38*'Monetized Values and Factors'!$M$6+'VMT Ton-Mile Driver Time'!N81*'Monetized Values and Factors'!$O$6</f>
        <v>33789168.326244801</v>
      </c>
      <c r="D37" s="176">
        <f t="shared" si="0"/>
        <v>21128117.384244803</v>
      </c>
      <c r="E37" s="235">
        <f>D37*InflationAdjustment!$C$17</f>
        <v>22019723.937859934</v>
      </c>
    </row>
    <row r="38" spans="1:6" x14ac:dyDescent="0.25">
      <c r="A38" s="39">
        <v>2049</v>
      </c>
      <c r="B38" s="179">
        <f>'VMT Ton-Mile Driver Time'!G39*'Monetized Values and Factors'!$M$6+'VMT Ton-Mile Driver Time'!G82*'Monetized Values and Factors'!$O$6</f>
        <v>12661050.941999998</v>
      </c>
      <c r="C38" s="166">
        <f>'VMT Ton-Mile Driver Time'!N39*'Monetized Values and Factors'!$M$6+'VMT Ton-Mile Driver Time'!N82*'Monetized Values and Factors'!$O$6</f>
        <v>33789168.326244801</v>
      </c>
      <c r="D38" s="176">
        <f t="shared" si="0"/>
        <v>21128117.384244803</v>
      </c>
      <c r="E38" s="235">
        <f>D38*InflationAdjustment!$C$17</f>
        <v>22019723.937859934</v>
      </c>
    </row>
    <row r="39" spans="1:6" x14ac:dyDescent="0.25">
      <c r="A39" s="39">
        <v>2050</v>
      </c>
      <c r="B39" s="179">
        <f>'VMT Ton-Mile Driver Time'!G40*'Monetized Values and Factors'!$M$6+'VMT Ton-Mile Driver Time'!G83*'Monetized Values and Factors'!$O$6</f>
        <v>12661050.941999998</v>
      </c>
      <c r="C39" s="166">
        <f>'VMT Ton-Mile Driver Time'!N40*'Monetized Values and Factors'!$M$6+'VMT Ton-Mile Driver Time'!N83*'Monetized Values and Factors'!$O$6</f>
        <v>33789168.326244801</v>
      </c>
      <c r="D39" s="176">
        <f t="shared" si="0"/>
        <v>21128117.384244803</v>
      </c>
      <c r="E39" s="235">
        <f>D39*InflationAdjustment!$C$17</f>
        <v>22019723.937859934</v>
      </c>
    </row>
    <row r="40" spans="1:6" x14ac:dyDescent="0.25">
      <c r="A40" s="201">
        <v>2051</v>
      </c>
      <c r="B40" s="388">
        <f>'VMT Ton-Mile Driver Time'!G41*'Monetized Values and Factors'!$M$6+'VMT Ton-Mile Driver Time'!G84*'Monetized Values and Factors'!$O$6</f>
        <v>12661050.941999998</v>
      </c>
      <c r="C40" s="385">
        <f>'VMT Ton-Mile Driver Time'!N41*'Monetized Values and Factors'!$M$6+'VMT Ton-Mile Driver Time'!N84*'Monetized Values and Factors'!$O$6</f>
        <v>33789168.326244801</v>
      </c>
      <c r="D40" s="386">
        <f t="shared" si="0"/>
        <v>21128117.384244803</v>
      </c>
      <c r="E40" s="389">
        <f>D40*InflationAdjustment!$C$17</f>
        <v>22019723.937859934</v>
      </c>
    </row>
    <row r="41" spans="1:6" ht="15.75" thickBot="1" x14ac:dyDescent="0.3">
      <c r="A41" s="168" t="s">
        <v>2</v>
      </c>
      <c r="B41" s="180">
        <f>SUM(B3:B40)</f>
        <v>310109028.55199993</v>
      </c>
      <c r="C41" s="180">
        <f>SUM(C3:C40)</f>
        <v>827603191.3332293</v>
      </c>
      <c r="D41" s="180">
        <f>SUM(D3:D40)</f>
        <v>517494162.78122884</v>
      </c>
      <c r="E41" s="180">
        <f>SUM(E3:E40)</f>
        <v>539332416.45059693</v>
      </c>
      <c r="F41" s="312">
        <f>E41/30</f>
        <v>17977747.215019897</v>
      </c>
    </row>
    <row r="43" spans="1:6" x14ac:dyDescent="0.25">
      <c r="B43" s="312"/>
      <c r="C43" s="312"/>
      <c r="D43" s="312"/>
      <c r="E43" s="312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70" zoomScaleNormal="70" workbookViewId="0">
      <selection activeCell="N23" sqref="N23"/>
    </sheetView>
  </sheetViews>
  <sheetFormatPr defaultColWidth="8.85546875" defaultRowHeight="15" x14ac:dyDescent="0.25"/>
  <cols>
    <col min="1" max="1" width="34.7109375" style="3" bestFit="1" customWidth="1"/>
    <col min="2" max="2" width="23" style="3" customWidth="1"/>
    <col min="3" max="3" width="24.7109375" style="3" customWidth="1"/>
    <col min="4" max="4" width="19.85546875" style="3" customWidth="1"/>
    <col min="5" max="5" width="22" style="3" customWidth="1"/>
    <col min="6" max="6" width="23" style="3" customWidth="1"/>
    <col min="7" max="7" width="20.42578125" style="3" customWidth="1"/>
    <col min="8" max="8" width="18.42578125" style="3" customWidth="1"/>
    <col min="9" max="9" width="18.85546875" style="3" customWidth="1"/>
    <col min="10" max="10" width="20.5703125" style="3" customWidth="1"/>
    <col min="11" max="16384" width="8.85546875" style="3"/>
  </cols>
  <sheetData>
    <row r="1" spans="1:10" ht="27" customHeight="1" thickBot="1" x14ac:dyDescent="0.4">
      <c r="A1" s="505" t="s">
        <v>240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10" ht="60" customHeight="1" x14ac:dyDescent="0.25">
      <c r="A2" s="313" t="s">
        <v>3</v>
      </c>
      <c r="B2" s="171" t="s">
        <v>316</v>
      </c>
      <c r="C2" s="172" t="s">
        <v>317</v>
      </c>
      <c r="D2" s="173" t="s">
        <v>318</v>
      </c>
      <c r="E2" s="171" t="s">
        <v>319</v>
      </c>
      <c r="F2" s="172" t="s">
        <v>320</v>
      </c>
      <c r="G2" s="173" t="s">
        <v>321</v>
      </c>
      <c r="H2" s="171" t="s">
        <v>322</v>
      </c>
      <c r="I2" s="172" t="s">
        <v>323</v>
      </c>
      <c r="J2" s="173" t="s">
        <v>324</v>
      </c>
    </row>
    <row r="3" spans="1:10" x14ac:dyDescent="0.25">
      <c r="A3" s="39">
        <v>2014</v>
      </c>
      <c r="B3" s="174">
        <f>'VMT Ton-Mile Driver Time'!F4*'Monetized Values and Factors'!$M$12+'VMT Ton-Mile Driver Time'!G47*'Monetized Values and Factors'!$M$13</f>
        <v>0</v>
      </c>
      <c r="C3" s="166">
        <f>'VMT Ton-Mile Driver Time'!M4*'Monetized Values and Factors'!$M$12+'VMT Ton-Mile Driver Time'!N47*'Monetized Values and Factors'!$M$13</f>
        <v>0</v>
      </c>
      <c r="D3" s="175">
        <f>C3-B3</f>
        <v>0</v>
      </c>
      <c r="E3" s="176">
        <f>'VMT Ton-Mile Driver Time'!H4*'Monetized Values and Factors'!$O$17+'VMT Ton-Mile Driver Time'!H47*'Monetized Values and Factors'!$O$18</f>
        <v>0</v>
      </c>
      <c r="F3" s="167">
        <f>'VMT Ton-Mile Driver Time'!O4*'Monetized Values and Factors'!$O$17+'VMT Ton-Mile Driver Time'!O47*'Monetized Values and Factors'!$O$18</f>
        <v>0</v>
      </c>
      <c r="G3" s="45">
        <f>F3-E3</f>
        <v>0</v>
      </c>
      <c r="H3" s="177">
        <f t="shared" ref="H3:J4" si="0">B3+E3</f>
        <v>0</v>
      </c>
      <c r="I3" s="44">
        <f t="shared" si="0"/>
        <v>0</v>
      </c>
      <c r="J3" s="45">
        <f t="shared" si="0"/>
        <v>0</v>
      </c>
    </row>
    <row r="4" spans="1:10" x14ac:dyDescent="0.25">
      <c r="A4" s="39">
        <v>2015</v>
      </c>
      <c r="B4" s="174">
        <f>'VMT Ton-Mile Driver Time'!F5*'Monetized Values and Factors'!$M$12+'VMT Ton-Mile Driver Time'!G48*'Monetized Values and Factors'!$M$13</f>
        <v>0</v>
      </c>
      <c r="C4" s="166">
        <f>'VMT Ton-Mile Driver Time'!M5*'Monetized Values and Factors'!$M$12+'VMT Ton-Mile Driver Time'!N48*'Monetized Values and Factors'!$M$13</f>
        <v>0</v>
      </c>
      <c r="D4" s="175">
        <f>C4-B4</f>
        <v>0</v>
      </c>
      <c r="E4" s="176">
        <f>'VMT Ton-Mile Driver Time'!H5*'Monetized Values and Factors'!$O$17+'VMT Ton-Mile Driver Time'!H48*'Monetized Values and Factors'!$O$18</f>
        <v>0</v>
      </c>
      <c r="F4" s="167">
        <f>'VMT Ton-Mile Driver Time'!O5*'Monetized Values and Factors'!$O$17+'VMT Ton-Mile Driver Time'!O48*'Monetized Values and Factors'!$O$18</f>
        <v>0</v>
      </c>
      <c r="G4" s="45">
        <f>F4-E4</f>
        <v>0</v>
      </c>
      <c r="H4" s="177">
        <f t="shared" si="0"/>
        <v>0</v>
      </c>
      <c r="I4" s="44">
        <f t="shared" si="0"/>
        <v>0</v>
      </c>
      <c r="J4" s="45">
        <f t="shared" si="0"/>
        <v>0</v>
      </c>
    </row>
    <row r="5" spans="1:10" x14ac:dyDescent="0.25">
      <c r="A5" s="39">
        <v>2016</v>
      </c>
      <c r="B5" s="174">
        <f>'VMT Ton-Mile Driver Time'!F6*'Monetized Values and Factors'!$M$12+'VMT Ton-Mile Driver Time'!G49*'Monetized Values and Factors'!$M$13</f>
        <v>0</v>
      </c>
      <c r="C5" s="166">
        <f>'VMT Ton-Mile Driver Time'!M6*'Monetized Values and Factors'!$M$12+'VMT Ton-Mile Driver Time'!N49*'Monetized Values and Factors'!$M$13</f>
        <v>0</v>
      </c>
      <c r="D5" s="175">
        <f t="shared" ref="D5:D40" si="1">C5-B5</f>
        <v>0</v>
      </c>
      <c r="E5" s="176">
        <f>'VMT Ton-Mile Driver Time'!H6*'Monetized Values and Factors'!$O$17+'VMT Ton-Mile Driver Time'!H49*'Monetized Values and Factors'!$O$18</f>
        <v>0</v>
      </c>
      <c r="F5" s="167">
        <f>'VMT Ton-Mile Driver Time'!O6*'Monetized Values and Factors'!$O$17+'VMT Ton-Mile Driver Time'!O49*'Monetized Values and Factors'!$O$18</f>
        <v>0</v>
      </c>
      <c r="G5" s="45">
        <f t="shared" ref="G5:G40" si="2">F5-E5</f>
        <v>0</v>
      </c>
      <c r="H5" s="177">
        <f t="shared" ref="H5:H41" si="3">B5+E5</f>
        <v>0</v>
      </c>
      <c r="I5" s="44">
        <f t="shared" ref="I5:I41" si="4">C5+F5</f>
        <v>0</v>
      </c>
      <c r="J5" s="45">
        <f t="shared" ref="J5:J41" si="5">D5+G5</f>
        <v>0</v>
      </c>
    </row>
    <row r="6" spans="1:10" x14ac:dyDescent="0.25">
      <c r="A6" s="39">
        <v>2017</v>
      </c>
      <c r="B6" s="174">
        <f>'VMT Ton-Mile Driver Time'!F7*'Monetized Values and Factors'!$M$12+'VMT Ton-Mile Driver Time'!G50*'Monetized Values and Factors'!$M$13</f>
        <v>0</v>
      </c>
      <c r="C6" s="166">
        <f>'VMT Ton-Mile Driver Time'!M7*'Monetized Values and Factors'!$M$12+'VMT Ton-Mile Driver Time'!N50*'Monetized Values and Factors'!$M$13</f>
        <v>0</v>
      </c>
      <c r="D6" s="175">
        <f t="shared" si="1"/>
        <v>0</v>
      </c>
      <c r="E6" s="176">
        <f>'VMT Ton-Mile Driver Time'!H7*'Monetized Values and Factors'!$O$17+'VMT Ton-Mile Driver Time'!H50*'Monetized Values and Factors'!$O$18</f>
        <v>0</v>
      </c>
      <c r="F6" s="167">
        <f>'VMT Ton-Mile Driver Time'!O7*'Monetized Values and Factors'!$O$17+'VMT Ton-Mile Driver Time'!O50*'Monetized Values and Factors'!$O$18</f>
        <v>0</v>
      </c>
      <c r="G6" s="45">
        <f t="shared" si="2"/>
        <v>0</v>
      </c>
      <c r="H6" s="177">
        <f t="shared" si="3"/>
        <v>0</v>
      </c>
      <c r="I6" s="44">
        <f t="shared" si="4"/>
        <v>0</v>
      </c>
      <c r="J6" s="45">
        <f t="shared" si="5"/>
        <v>0</v>
      </c>
    </row>
    <row r="7" spans="1:10" x14ac:dyDescent="0.25">
      <c r="A7" s="39">
        <v>2018</v>
      </c>
      <c r="B7" s="174">
        <f>'VMT Ton-Mile Driver Time'!F8*'Monetized Values and Factors'!$M$12+'VMT Ton-Mile Driver Time'!G51*'Monetized Values and Factors'!$M$13</f>
        <v>0</v>
      </c>
      <c r="C7" s="166">
        <f>'VMT Ton-Mile Driver Time'!M8*'Monetized Values and Factors'!$M$12+'VMT Ton-Mile Driver Time'!N51*'Monetized Values and Factors'!$M$13</f>
        <v>0</v>
      </c>
      <c r="D7" s="175">
        <f t="shared" si="1"/>
        <v>0</v>
      </c>
      <c r="E7" s="176">
        <f>'VMT Ton-Mile Driver Time'!H8*'Monetized Values and Factors'!$O$17+'VMT Ton-Mile Driver Time'!H51*'Monetized Values and Factors'!$O$18</f>
        <v>0</v>
      </c>
      <c r="F7" s="167">
        <f>'VMT Ton-Mile Driver Time'!O8*'Monetized Values and Factors'!$O$17+'VMT Ton-Mile Driver Time'!O51*'Monetized Values and Factors'!$O$18</f>
        <v>0</v>
      </c>
      <c r="G7" s="45">
        <f t="shared" si="2"/>
        <v>0</v>
      </c>
      <c r="H7" s="177">
        <f t="shared" si="3"/>
        <v>0</v>
      </c>
      <c r="I7" s="44">
        <f t="shared" si="4"/>
        <v>0</v>
      </c>
      <c r="J7" s="45">
        <f t="shared" si="5"/>
        <v>0</v>
      </c>
    </row>
    <row r="8" spans="1:10" x14ac:dyDescent="0.25">
      <c r="A8" s="39">
        <v>2019</v>
      </c>
      <c r="B8" s="174">
        <f>'VMT Ton-Mile Driver Time'!F9*'Monetized Values and Factors'!$M$12+'VMT Ton-Mile Driver Time'!G52*'Monetized Values and Factors'!$M$13</f>
        <v>0</v>
      </c>
      <c r="C8" s="166">
        <f>'VMT Ton-Mile Driver Time'!M9*'Monetized Values and Factors'!$M$12+'VMT Ton-Mile Driver Time'!N52*'Monetized Values and Factors'!$M$13</f>
        <v>0</v>
      </c>
      <c r="D8" s="175">
        <f t="shared" si="1"/>
        <v>0</v>
      </c>
      <c r="E8" s="176">
        <f>'VMT Ton-Mile Driver Time'!H9*'Monetized Values and Factors'!$O$17+'VMT Ton-Mile Driver Time'!H52*'Monetized Values and Factors'!$O$18</f>
        <v>0</v>
      </c>
      <c r="F8" s="167">
        <f>'VMT Ton-Mile Driver Time'!O9*'Monetized Values and Factors'!$O$17+'VMT Ton-Mile Driver Time'!O52*'Monetized Values and Factors'!$O$18</f>
        <v>0</v>
      </c>
      <c r="G8" s="45">
        <f t="shared" si="2"/>
        <v>0</v>
      </c>
      <c r="H8" s="177">
        <f t="shared" si="3"/>
        <v>0</v>
      </c>
      <c r="I8" s="44">
        <f t="shared" si="4"/>
        <v>0</v>
      </c>
      <c r="J8" s="45">
        <f t="shared" si="5"/>
        <v>0</v>
      </c>
    </row>
    <row r="9" spans="1:10" x14ac:dyDescent="0.25">
      <c r="A9" s="39">
        <v>2020</v>
      </c>
      <c r="B9" s="174">
        <f>'VMT Ton-Mile Driver Time'!F10*'Monetized Values and Factors'!$M$12+'VMT Ton-Mile Driver Time'!G53*'Monetized Values and Factors'!$M$13</f>
        <v>0</v>
      </c>
      <c r="C9" s="166">
        <f>'VMT Ton-Mile Driver Time'!M10*'Monetized Values and Factors'!$M$12+'VMT Ton-Mile Driver Time'!N53*'Monetized Values and Factors'!$M$13</f>
        <v>0</v>
      </c>
      <c r="D9" s="175">
        <f t="shared" si="1"/>
        <v>0</v>
      </c>
      <c r="E9" s="176">
        <f>'VMT Ton-Mile Driver Time'!H10*'Monetized Values and Factors'!$O$17+'VMT Ton-Mile Driver Time'!H53*'Monetized Values and Factors'!$O$18</f>
        <v>0</v>
      </c>
      <c r="F9" s="167">
        <f>'VMT Ton-Mile Driver Time'!O10*'Monetized Values and Factors'!$O$17+'VMT Ton-Mile Driver Time'!O53*'Monetized Values and Factors'!$O$18</f>
        <v>0</v>
      </c>
      <c r="G9" s="45">
        <f t="shared" si="2"/>
        <v>0</v>
      </c>
      <c r="H9" s="177">
        <f t="shared" si="3"/>
        <v>0</v>
      </c>
      <c r="I9" s="44">
        <f t="shared" si="4"/>
        <v>0</v>
      </c>
      <c r="J9" s="45">
        <f t="shared" si="5"/>
        <v>0</v>
      </c>
    </row>
    <row r="10" spans="1:10" x14ac:dyDescent="0.25">
      <c r="A10" s="39">
        <v>2021</v>
      </c>
      <c r="B10" s="174">
        <f>'VMT Ton-Mile Driver Time'!F11*'Monetized Values and Factors'!$M$12+'VMT Ton-Mile Driver Time'!G54*'Monetized Values and Factors'!$M$13</f>
        <v>0</v>
      </c>
      <c r="C10" s="166">
        <f>'VMT Ton-Mile Driver Time'!M11*'Monetized Values and Factors'!$M$12+'VMT Ton-Mile Driver Time'!N54*'Monetized Values and Factors'!$M$13</f>
        <v>0</v>
      </c>
      <c r="D10" s="175">
        <f t="shared" si="1"/>
        <v>0</v>
      </c>
      <c r="E10" s="176">
        <f>'VMT Ton-Mile Driver Time'!H11*'Monetized Values and Factors'!$O$17+'VMT Ton-Mile Driver Time'!H54*'Monetized Values and Factors'!$O$18</f>
        <v>0</v>
      </c>
      <c r="F10" s="167">
        <f>'VMT Ton-Mile Driver Time'!O11*'Monetized Values and Factors'!$O$17+'VMT Ton-Mile Driver Time'!O54*'Monetized Values and Factors'!$O$18</f>
        <v>0</v>
      </c>
      <c r="G10" s="45">
        <f t="shared" si="2"/>
        <v>0</v>
      </c>
      <c r="H10" s="177">
        <f t="shared" si="3"/>
        <v>0</v>
      </c>
      <c r="I10" s="44">
        <f t="shared" si="4"/>
        <v>0</v>
      </c>
      <c r="J10" s="45">
        <f t="shared" si="5"/>
        <v>0</v>
      </c>
    </row>
    <row r="11" spans="1:10" x14ac:dyDescent="0.25">
      <c r="A11" s="39">
        <v>2022</v>
      </c>
      <c r="B11" s="174">
        <f>'VMT Ton-Mile Driver Time'!F12*'Monetized Values and Factors'!$M$12+'VMT Ton-Mile Driver Time'!G55*'Monetized Values and Factors'!$M$13</f>
        <v>3142345.2498352937</v>
      </c>
      <c r="C11" s="166">
        <f>'VMT Ton-Mile Driver Time'!M12*'Monetized Values and Factors'!$M$12+'VMT Ton-Mile Driver Time'!N55*'Monetized Values and Factors'!$M$13</f>
        <v>9458169.6298484057</v>
      </c>
      <c r="D11" s="175">
        <f t="shared" si="1"/>
        <v>6315824.380013112</v>
      </c>
      <c r="E11" s="176">
        <f>'VMT Ton-Mile Driver Time'!H12*'Monetized Values and Factors'!$O$17+'VMT Ton-Mile Driver Time'!H55*'Monetized Values and Factors'!$O$18</f>
        <v>1146530.0813888889</v>
      </c>
      <c r="F11" s="167">
        <f>'VMT Ton-Mile Driver Time'!O12*'Monetized Values and Factors'!$O$17+'VMT Ton-Mile Driver Time'!O55*'Monetized Values and Factors'!$O$18</f>
        <v>1741301.8493226077</v>
      </c>
      <c r="G11" s="45">
        <f t="shared" si="2"/>
        <v>594771.76793371886</v>
      </c>
      <c r="H11" s="177">
        <f>B11+E11</f>
        <v>4288875.3312241826</v>
      </c>
      <c r="I11" s="44">
        <f t="shared" si="4"/>
        <v>11199471.479171013</v>
      </c>
      <c r="J11" s="45">
        <f t="shared" si="5"/>
        <v>6910596.1479468308</v>
      </c>
    </row>
    <row r="12" spans="1:10" x14ac:dyDescent="0.25">
      <c r="A12" s="39">
        <v>2023</v>
      </c>
      <c r="B12" s="174">
        <f>'VMT Ton-Mile Driver Time'!F13*'Monetized Values and Factors'!$M$12+'VMT Ton-Mile Driver Time'!G56*'Monetized Values and Factors'!$M$13</f>
        <v>6284690.4996705875</v>
      </c>
      <c r="C12" s="166">
        <f>'VMT Ton-Mile Driver Time'!M13*'Monetized Values and Factors'!$M$12+'VMT Ton-Mile Driver Time'!N56*'Monetized Values and Factors'!$M$13</f>
        <v>18916339.259696811</v>
      </c>
      <c r="D12" s="175">
        <f t="shared" si="1"/>
        <v>12631648.760026224</v>
      </c>
      <c r="E12" s="176">
        <f>'VMT Ton-Mile Driver Time'!H13*'Monetized Values and Factors'!$O$17+'VMT Ton-Mile Driver Time'!H56*'Monetized Values and Factors'!$O$18</f>
        <v>2293060.1627777778</v>
      </c>
      <c r="F12" s="167">
        <f>'VMT Ton-Mile Driver Time'!O13*'Monetized Values and Factors'!$O$17+'VMT Ton-Mile Driver Time'!O56*'Monetized Values and Factors'!$O$18</f>
        <v>3482603.6986452155</v>
      </c>
      <c r="G12" s="45">
        <f t="shared" si="2"/>
        <v>1189543.5358674377</v>
      </c>
      <c r="H12" s="177">
        <f t="shared" si="3"/>
        <v>8577750.6624483652</v>
      </c>
      <c r="I12" s="44">
        <f t="shared" si="4"/>
        <v>22398942.958342027</v>
      </c>
      <c r="J12" s="45">
        <f t="shared" si="5"/>
        <v>13821192.295893662</v>
      </c>
    </row>
    <row r="13" spans="1:10" x14ac:dyDescent="0.25">
      <c r="A13" s="39">
        <v>2024</v>
      </c>
      <c r="B13" s="174">
        <f>'VMT Ton-Mile Driver Time'!F14*'Monetized Values and Factors'!$M$12+'VMT Ton-Mile Driver Time'!G57*'Monetized Values and Factors'!$M$13</f>
        <v>9427035.7495058812</v>
      </c>
      <c r="C13" s="166">
        <f>'VMT Ton-Mile Driver Time'!M14*'Monetized Values and Factors'!$M$12+'VMT Ton-Mile Driver Time'!N57*'Monetized Values and Factors'!$M$13</f>
        <v>28374508.889545217</v>
      </c>
      <c r="D13" s="175">
        <f t="shared" si="1"/>
        <v>18947473.140039336</v>
      </c>
      <c r="E13" s="176">
        <f>'VMT Ton-Mile Driver Time'!H14*'Monetized Values and Factors'!$O$17+'VMT Ton-Mile Driver Time'!H57*'Monetized Values and Factors'!$O$18</f>
        <v>3439590.2441666671</v>
      </c>
      <c r="F13" s="167">
        <f>'VMT Ton-Mile Driver Time'!O14*'Monetized Values and Factors'!$O$17+'VMT Ton-Mile Driver Time'!O57*'Monetized Values and Factors'!$O$18</f>
        <v>5223905.5479678232</v>
      </c>
      <c r="G13" s="45">
        <f t="shared" si="2"/>
        <v>1784315.3038011561</v>
      </c>
      <c r="H13" s="177">
        <f t="shared" si="3"/>
        <v>12866625.993672548</v>
      </c>
      <c r="I13" s="44">
        <f t="shared" si="4"/>
        <v>33598414.437513039</v>
      </c>
      <c r="J13" s="45">
        <f t="shared" si="5"/>
        <v>20731788.443840493</v>
      </c>
    </row>
    <row r="14" spans="1:10" x14ac:dyDescent="0.25">
      <c r="A14" s="39">
        <v>2025</v>
      </c>
      <c r="B14" s="174">
        <f>'VMT Ton-Mile Driver Time'!F15*'Monetized Values and Factors'!$M$12+'VMT Ton-Mile Driver Time'!G58*'Monetized Values and Factors'!$M$13</f>
        <v>12569380.999341175</v>
      </c>
      <c r="C14" s="166">
        <f>'VMT Ton-Mile Driver Time'!M15*'Monetized Values and Factors'!$M$12+'VMT Ton-Mile Driver Time'!N58*'Monetized Values and Factors'!$M$13</f>
        <v>37832678.519393623</v>
      </c>
      <c r="D14" s="175">
        <f t="shared" si="1"/>
        <v>25263297.520052448</v>
      </c>
      <c r="E14" s="176">
        <f>'VMT Ton-Mile Driver Time'!H15*'Monetized Values and Factors'!$O$17+'VMT Ton-Mile Driver Time'!H58*'Monetized Values and Factors'!$O$18</f>
        <v>4586120.3255555555</v>
      </c>
      <c r="F14" s="167">
        <f>'VMT Ton-Mile Driver Time'!O15*'Monetized Values and Factors'!$O$17+'VMT Ton-Mile Driver Time'!O58*'Monetized Values and Factors'!$O$18</f>
        <v>6965207.397290431</v>
      </c>
      <c r="G14" s="45">
        <f t="shared" si="2"/>
        <v>2379087.0717348754</v>
      </c>
      <c r="H14" s="177">
        <f t="shared" si="3"/>
        <v>17155501.32489673</v>
      </c>
      <c r="I14" s="44">
        <f t="shared" si="4"/>
        <v>44797885.916684054</v>
      </c>
      <c r="J14" s="45">
        <f t="shared" si="5"/>
        <v>27642384.591787323</v>
      </c>
    </row>
    <row r="15" spans="1:10" x14ac:dyDescent="0.25">
      <c r="A15" s="39">
        <v>2026</v>
      </c>
      <c r="B15" s="174">
        <f>'VMT Ton-Mile Driver Time'!F16*'Monetized Values and Factors'!$M$12+'VMT Ton-Mile Driver Time'!G59*'Monetized Values and Factors'!$M$13</f>
        <v>15711726.249176471</v>
      </c>
      <c r="C15" s="166">
        <f>'VMT Ton-Mile Driver Time'!M16*'Monetized Values and Factors'!$M$12+'VMT Ton-Mile Driver Time'!N59*'Monetized Values and Factors'!$M$13</f>
        <v>47290848.149242021</v>
      </c>
      <c r="D15" s="175">
        <f t="shared" si="1"/>
        <v>31579121.900065549</v>
      </c>
      <c r="E15" s="176">
        <f>'VMT Ton-Mile Driver Time'!H16*'Monetized Values and Factors'!$O$17+'VMT Ton-Mile Driver Time'!H59*'Monetized Values and Factors'!$O$18</f>
        <v>5732650.4069444453</v>
      </c>
      <c r="F15" s="167">
        <f>'VMT Ton-Mile Driver Time'!O16*'Monetized Values and Factors'!$O$17+'VMT Ton-Mile Driver Time'!O59*'Monetized Values and Factors'!$O$18</f>
        <v>8706509.2466130406</v>
      </c>
      <c r="G15" s="45">
        <f t="shared" si="2"/>
        <v>2973858.8396685952</v>
      </c>
      <c r="H15" s="177">
        <f t="shared" si="3"/>
        <v>21444376.656120915</v>
      </c>
      <c r="I15" s="44">
        <f t="shared" si="4"/>
        <v>55997357.395855062</v>
      </c>
      <c r="J15" s="45">
        <f t="shared" si="5"/>
        <v>34552980.739734143</v>
      </c>
    </row>
    <row r="16" spans="1:10" x14ac:dyDescent="0.25">
      <c r="A16" s="39">
        <v>2027</v>
      </c>
      <c r="B16" s="174">
        <f>'VMT Ton-Mile Driver Time'!F17*'Monetized Values and Factors'!$M$12+'VMT Ton-Mile Driver Time'!G60*'Monetized Values and Factors'!$M$13</f>
        <v>18854071.499011762</v>
      </c>
      <c r="C16" s="166">
        <f>'VMT Ton-Mile Driver Time'!M17*'Monetized Values and Factors'!$M$12+'VMT Ton-Mile Driver Time'!N60*'Monetized Values and Factors'!$M$13</f>
        <v>56749017.779090434</v>
      </c>
      <c r="D16" s="175">
        <f t="shared" si="1"/>
        <v>37894946.280078672</v>
      </c>
      <c r="E16" s="176">
        <f>'VMT Ton-Mile Driver Time'!H17*'Monetized Values and Factors'!$O$17+'VMT Ton-Mile Driver Time'!H60*'Monetized Values and Factors'!$O$18</f>
        <v>6879180.4883333342</v>
      </c>
      <c r="F16" s="167">
        <f>'VMT Ton-Mile Driver Time'!O17*'Monetized Values and Factors'!$O$17+'VMT Ton-Mile Driver Time'!O60*'Monetized Values and Factors'!$O$18</f>
        <v>10447811.095935646</v>
      </c>
      <c r="G16" s="45">
        <f t="shared" si="2"/>
        <v>3568630.6076023122</v>
      </c>
      <c r="H16" s="177">
        <f t="shared" si="3"/>
        <v>25733251.987345096</v>
      </c>
      <c r="I16" s="44">
        <f t="shared" si="4"/>
        <v>67196828.875026077</v>
      </c>
      <c r="J16" s="45">
        <f t="shared" si="5"/>
        <v>41463576.887680985</v>
      </c>
    </row>
    <row r="17" spans="1:10" x14ac:dyDescent="0.25">
      <c r="A17" s="39">
        <v>2028</v>
      </c>
      <c r="B17" s="174">
        <f>'VMT Ton-Mile Driver Time'!F18*'Monetized Values and Factors'!$M$12+'VMT Ton-Mile Driver Time'!G61*'Monetized Values and Factors'!$M$13</f>
        <v>25138761.99868235</v>
      </c>
      <c r="C17" s="166">
        <f>'VMT Ton-Mile Driver Time'!M18*'Monetized Values and Factors'!$M$12+'VMT Ton-Mile Driver Time'!N61*'Monetized Values and Factors'!$M$13</f>
        <v>75665357.038787246</v>
      </c>
      <c r="D17" s="175">
        <f t="shared" si="1"/>
        <v>50526595.040104896</v>
      </c>
      <c r="E17" s="176">
        <f>'VMT Ton-Mile Driver Time'!H18*'Monetized Values and Factors'!$O$17+'VMT Ton-Mile Driver Time'!H61*'Monetized Values and Factors'!$O$18</f>
        <v>9172240.651111111</v>
      </c>
      <c r="F17" s="167">
        <f>'VMT Ton-Mile Driver Time'!O18*'Monetized Values and Factors'!$O$17+'VMT Ton-Mile Driver Time'!O61*'Monetized Values and Factors'!$O$18</f>
        <v>13930414.794580862</v>
      </c>
      <c r="G17" s="45">
        <f t="shared" si="2"/>
        <v>4758174.1434697509</v>
      </c>
      <c r="H17" s="177">
        <f t="shared" si="3"/>
        <v>34311002.649793461</v>
      </c>
      <c r="I17" s="44">
        <f t="shared" si="4"/>
        <v>89595771.833368108</v>
      </c>
      <c r="J17" s="45">
        <f t="shared" si="5"/>
        <v>55284769.183574647</v>
      </c>
    </row>
    <row r="18" spans="1:10" x14ac:dyDescent="0.25">
      <c r="A18" s="39">
        <v>2029</v>
      </c>
      <c r="B18" s="174">
        <f>'VMT Ton-Mile Driver Time'!F19*'Monetized Values and Factors'!$M$12+'VMT Ton-Mile Driver Time'!G62*'Monetized Values and Factors'!$M$13</f>
        <v>31423452.498352941</v>
      </c>
      <c r="C18" s="166">
        <f>'VMT Ton-Mile Driver Time'!M19*'Monetized Values and Factors'!$M$12+'VMT Ton-Mile Driver Time'!N62*'Monetized Values and Factors'!$M$13</f>
        <v>94581696.298484042</v>
      </c>
      <c r="D18" s="175">
        <f t="shared" si="1"/>
        <v>63158243.800131097</v>
      </c>
      <c r="E18" s="176">
        <f>'VMT Ton-Mile Driver Time'!H19*'Monetized Values and Factors'!$O$17+'VMT Ton-Mile Driver Time'!H62*'Monetized Values and Factors'!$O$18</f>
        <v>11465300.813888891</v>
      </c>
      <c r="F18" s="167">
        <f>'VMT Ton-Mile Driver Time'!O19*'Monetized Values and Factors'!$O$17+'VMT Ton-Mile Driver Time'!O62*'Monetized Values and Factors'!$O$18</f>
        <v>17413018.493226081</v>
      </c>
      <c r="G18" s="45">
        <f t="shared" si="2"/>
        <v>5947717.6793371905</v>
      </c>
      <c r="H18" s="177">
        <f t="shared" si="3"/>
        <v>42888753.31224183</v>
      </c>
      <c r="I18" s="44">
        <f t="shared" si="4"/>
        <v>111994714.79171012</v>
      </c>
      <c r="J18" s="45">
        <f t="shared" si="5"/>
        <v>69105961.479468286</v>
      </c>
    </row>
    <row r="19" spans="1:10" x14ac:dyDescent="0.25">
      <c r="A19" s="39">
        <v>2030</v>
      </c>
      <c r="B19" s="174">
        <f>'VMT Ton-Mile Driver Time'!F20*'Monetized Values and Factors'!$M$12+'VMT Ton-Mile Driver Time'!G63*'Monetized Values and Factors'!$M$13</f>
        <v>37708142.998023525</v>
      </c>
      <c r="C19" s="166">
        <f>'VMT Ton-Mile Driver Time'!M20*'Monetized Values and Factors'!$M$12+'VMT Ton-Mile Driver Time'!N63*'Monetized Values and Factors'!$M$13</f>
        <v>113498035.55818087</v>
      </c>
      <c r="D19" s="175">
        <f t="shared" si="1"/>
        <v>75789892.560157344</v>
      </c>
      <c r="E19" s="176">
        <f>'VMT Ton-Mile Driver Time'!H20*'Monetized Values and Factors'!$O$17+'VMT Ton-Mile Driver Time'!H63*'Monetized Values and Factors'!$O$18</f>
        <v>13758360.976666668</v>
      </c>
      <c r="F19" s="167">
        <f>'VMT Ton-Mile Driver Time'!O20*'Monetized Values and Factors'!$O$17+'VMT Ton-Mile Driver Time'!O63*'Monetized Values and Factors'!$O$18</f>
        <v>20895622.191871293</v>
      </c>
      <c r="G19" s="45">
        <f t="shared" si="2"/>
        <v>7137261.2152046245</v>
      </c>
      <c r="H19" s="177">
        <f t="shared" si="3"/>
        <v>51466503.974690191</v>
      </c>
      <c r="I19" s="44">
        <f t="shared" si="4"/>
        <v>134393657.75005215</v>
      </c>
      <c r="J19" s="45">
        <f t="shared" si="5"/>
        <v>82927153.77536197</v>
      </c>
    </row>
    <row r="20" spans="1:10" x14ac:dyDescent="0.25">
      <c r="A20" s="39">
        <v>2031</v>
      </c>
      <c r="B20" s="174">
        <f>'VMT Ton-Mile Driver Time'!F21*'Monetized Values and Factors'!$M$12+'VMT Ton-Mile Driver Time'!G64*'Monetized Values and Factors'!$M$13</f>
        <v>45878240.647595286</v>
      </c>
      <c r="C20" s="166">
        <f>'VMT Ton-Mile Driver Time'!M21*'Monetized Values and Factors'!$M$12+'VMT Ton-Mile Driver Time'!N64*'Monetized Values and Factors'!$M$13</f>
        <v>138089276.59578669</v>
      </c>
      <c r="D20" s="175">
        <f t="shared" si="1"/>
        <v>92211035.948191404</v>
      </c>
      <c r="E20" s="176">
        <f>'VMT Ton-Mile Driver Time'!H21*'Monetized Values and Factors'!$O$17+'VMT Ton-Mile Driver Time'!H64*'Monetized Values and Factors'!$O$18</f>
        <v>16739339.188277777</v>
      </c>
      <c r="F20" s="167">
        <f>'VMT Ton-Mile Driver Time'!O21*'Monetized Values and Factors'!$O$17+'VMT Ton-Mile Driver Time'!O64*'Monetized Values and Factors'!$O$18</f>
        <v>25423007.000110075</v>
      </c>
      <c r="G20" s="45">
        <f t="shared" si="2"/>
        <v>8683667.8118322976</v>
      </c>
      <c r="H20" s="177">
        <f t="shared" si="3"/>
        <v>62617579.835873067</v>
      </c>
      <c r="I20" s="44">
        <f t="shared" si="4"/>
        <v>163512283.59589678</v>
      </c>
      <c r="J20" s="45">
        <f t="shared" si="5"/>
        <v>100894703.7600237</v>
      </c>
    </row>
    <row r="21" spans="1:10" x14ac:dyDescent="0.25">
      <c r="A21" s="39">
        <v>2032</v>
      </c>
      <c r="B21" s="174">
        <f>'VMT Ton-Mile Driver Time'!F22*'Monetized Values and Factors'!$M$12+'VMT Ton-Mile Driver Time'!G65*'Monetized Values and Factors'!$M$13</f>
        <v>45878240.647595286</v>
      </c>
      <c r="C21" s="166">
        <f>'VMT Ton-Mile Driver Time'!M22*'Monetized Values and Factors'!$M$12+'VMT Ton-Mile Driver Time'!N65*'Monetized Values and Factors'!$M$13</f>
        <v>138089276.59578669</v>
      </c>
      <c r="D21" s="175">
        <f t="shared" si="1"/>
        <v>92211035.948191404</v>
      </c>
      <c r="E21" s="176">
        <f>'VMT Ton-Mile Driver Time'!H22*'Monetized Values and Factors'!$O$17+'VMT Ton-Mile Driver Time'!H65*'Monetized Values and Factors'!$O$18</f>
        <v>16739339.188277777</v>
      </c>
      <c r="F21" s="167">
        <f>'VMT Ton-Mile Driver Time'!O22*'Monetized Values and Factors'!$O$17+'VMT Ton-Mile Driver Time'!O65*'Monetized Values and Factors'!$O$18</f>
        <v>25423007.000110075</v>
      </c>
      <c r="G21" s="45">
        <f t="shared" si="2"/>
        <v>8683667.8118322976</v>
      </c>
      <c r="H21" s="177">
        <f t="shared" si="3"/>
        <v>62617579.835873067</v>
      </c>
      <c r="I21" s="44">
        <f t="shared" si="4"/>
        <v>163512283.59589678</v>
      </c>
      <c r="J21" s="45">
        <f t="shared" si="5"/>
        <v>100894703.7600237</v>
      </c>
    </row>
    <row r="22" spans="1:10" x14ac:dyDescent="0.25">
      <c r="A22" s="39">
        <v>2033</v>
      </c>
      <c r="B22" s="174">
        <f>'VMT Ton-Mile Driver Time'!F23*'Monetized Values and Factors'!$M$12+'VMT Ton-Mile Driver Time'!G66*'Monetized Values and Factors'!$M$13</f>
        <v>45878240.647595286</v>
      </c>
      <c r="C22" s="166">
        <f>'VMT Ton-Mile Driver Time'!M23*'Monetized Values and Factors'!$M$12+'VMT Ton-Mile Driver Time'!N66*'Monetized Values and Factors'!$M$13</f>
        <v>138089276.59578669</v>
      </c>
      <c r="D22" s="175">
        <f t="shared" si="1"/>
        <v>92211035.948191404</v>
      </c>
      <c r="E22" s="176">
        <f>'VMT Ton-Mile Driver Time'!H23*'Monetized Values and Factors'!$O$17+'VMT Ton-Mile Driver Time'!H66*'Monetized Values and Factors'!$O$18</f>
        <v>16739339.188277777</v>
      </c>
      <c r="F22" s="167">
        <f>'VMT Ton-Mile Driver Time'!O23*'Monetized Values and Factors'!$O$17+'VMT Ton-Mile Driver Time'!O66*'Monetized Values and Factors'!$O$18</f>
        <v>25423007.000110075</v>
      </c>
      <c r="G22" s="45">
        <f t="shared" si="2"/>
        <v>8683667.8118322976</v>
      </c>
      <c r="H22" s="177">
        <f t="shared" si="3"/>
        <v>62617579.835873067</v>
      </c>
      <c r="I22" s="44">
        <f t="shared" si="4"/>
        <v>163512283.59589678</v>
      </c>
      <c r="J22" s="45">
        <f t="shared" si="5"/>
        <v>100894703.7600237</v>
      </c>
    </row>
    <row r="23" spans="1:10" x14ac:dyDescent="0.25">
      <c r="A23" s="39">
        <v>2034</v>
      </c>
      <c r="B23" s="174">
        <f>'VMT Ton-Mile Driver Time'!F24*'Monetized Values and Factors'!$M$12+'VMT Ton-Mile Driver Time'!G67*'Monetized Values and Factors'!$M$13</f>
        <v>45878240.647595286</v>
      </c>
      <c r="C23" s="166">
        <f>'VMT Ton-Mile Driver Time'!M24*'Monetized Values and Factors'!$M$12+'VMT Ton-Mile Driver Time'!N67*'Monetized Values and Factors'!$M$13</f>
        <v>138089276.59578669</v>
      </c>
      <c r="D23" s="175">
        <f t="shared" si="1"/>
        <v>92211035.948191404</v>
      </c>
      <c r="E23" s="176">
        <f>'VMT Ton-Mile Driver Time'!H24*'Monetized Values and Factors'!$O$17+'VMT Ton-Mile Driver Time'!H67*'Monetized Values and Factors'!$O$18</f>
        <v>16739339.188277777</v>
      </c>
      <c r="F23" s="167">
        <f>'VMT Ton-Mile Driver Time'!O24*'Monetized Values and Factors'!$O$17+'VMT Ton-Mile Driver Time'!O67*'Monetized Values and Factors'!$O$18</f>
        <v>25423007.000110075</v>
      </c>
      <c r="G23" s="45">
        <f t="shared" si="2"/>
        <v>8683667.8118322976</v>
      </c>
      <c r="H23" s="177">
        <f t="shared" si="3"/>
        <v>62617579.835873067</v>
      </c>
      <c r="I23" s="44">
        <f t="shared" si="4"/>
        <v>163512283.59589678</v>
      </c>
      <c r="J23" s="45">
        <f t="shared" si="5"/>
        <v>100894703.7600237</v>
      </c>
    </row>
    <row r="24" spans="1:10" x14ac:dyDescent="0.25">
      <c r="A24" s="39">
        <v>2035</v>
      </c>
      <c r="B24" s="174">
        <f>'VMT Ton-Mile Driver Time'!F25*'Monetized Values and Factors'!$M$12+'VMT Ton-Mile Driver Time'!G68*'Monetized Values and Factors'!$M$13</f>
        <v>45878240.647595286</v>
      </c>
      <c r="C24" s="166">
        <f>'VMT Ton-Mile Driver Time'!M25*'Monetized Values and Factors'!$M$12+'VMT Ton-Mile Driver Time'!N68*'Monetized Values and Factors'!$M$13</f>
        <v>138089276.59578669</v>
      </c>
      <c r="D24" s="175">
        <f t="shared" si="1"/>
        <v>92211035.948191404</v>
      </c>
      <c r="E24" s="176">
        <f>'VMT Ton-Mile Driver Time'!H25*'Monetized Values and Factors'!$O$17+'VMT Ton-Mile Driver Time'!H68*'Monetized Values and Factors'!$O$18</f>
        <v>16739339.188277777</v>
      </c>
      <c r="F24" s="167">
        <f>'VMT Ton-Mile Driver Time'!O25*'Monetized Values and Factors'!$O$17+'VMT Ton-Mile Driver Time'!O68*'Monetized Values and Factors'!$O$18</f>
        <v>25423007.000110075</v>
      </c>
      <c r="G24" s="45">
        <f t="shared" si="2"/>
        <v>8683667.8118322976</v>
      </c>
      <c r="H24" s="177">
        <f t="shared" si="3"/>
        <v>62617579.835873067</v>
      </c>
      <c r="I24" s="44">
        <f t="shared" si="4"/>
        <v>163512283.59589678</v>
      </c>
      <c r="J24" s="45">
        <f t="shared" si="5"/>
        <v>100894703.7600237</v>
      </c>
    </row>
    <row r="25" spans="1:10" x14ac:dyDescent="0.25">
      <c r="A25" s="39">
        <v>2036</v>
      </c>
      <c r="B25" s="174">
        <f>'VMT Ton-Mile Driver Time'!F26*'Monetized Values and Factors'!$M$12+'VMT Ton-Mile Driver Time'!G69*'Monetized Values and Factors'!$M$13</f>
        <v>45878240.647595286</v>
      </c>
      <c r="C25" s="166">
        <f>'VMT Ton-Mile Driver Time'!M26*'Monetized Values and Factors'!$M$12+'VMT Ton-Mile Driver Time'!N69*'Monetized Values and Factors'!$M$13</f>
        <v>138089276.59578669</v>
      </c>
      <c r="D25" s="175">
        <f t="shared" si="1"/>
        <v>92211035.948191404</v>
      </c>
      <c r="E25" s="176">
        <f>'VMT Ton-Mile Driver Time'!H26*'Monetized Values and Factors'!$O$17+'VMT Ton-Mile Driver Time'!H69*'Monetized Values and Factors'!$O$18</f>
        <v>16739339.188277777</v>
      </c>
      <c r="F25" s="167">
        <f>'VMT Ton-Mile Driver Time'!O26*'Monetized Values and Factors'!$O$17+'VMT Ton-Mile Driver Time'!O69*'Monetized Values and Factors'!$O$18</f>
        <v>25423007.000110075</v>
      </c>
      <c r="G25" s="45">
        <f t="shared" si="2"/>
        <v>8683667.8118322976</v>
      </c>
      <c r="H25" s="177">
        <f t="shared" si="3"/>
        <v>62617579.835873067</v>
      </c>
      <c r="I25" s="44">
        <f t="shared" si="4"/>
        <v>163512283.59589678</v>
      </c>
      <c r="J25" s="45">
        <f t="shared" si="5"/>
        <v>100894703.7600237</v>
      </c>
    </row>
    <row r="26" spans="1:10" x14ac:dyDescent="0.25">
      <c r="A26" s="39">
        <v>2037</v>
      </c>
      <c r="B26" s="174">
        <f>'VMT Ton-Mile Driver Time'!F27*'Monetized Values and Factors'!$M$12+'VMT Ton-Mile Driver Time'!G70*'Monetized Values and Factors'!$M$13</f>
        <v>45878240.647595286</v>
      </c>
      <c r="C26" s="166">
        <f>'VMT Ton-Mile Driver Time'!M27*'Monetized Values and Factors'!$M$12+'VMT Ton-Mile Driver Time'!N70*'Monetized Values and Factors'!$M$13</f>
        <v>138089276.59578669</v>
      </c>
      <c r="D26" s="175">
        <f t="shared" si="1"/>
        <v>92211035.948191404</v>
      </c>
      <c r="E26" s="176">
        <f>'VMT Ton-Mile Driver Time'!H27*'Monetized Values and Factors'!$O$17+'VMT Ton-Mile Driver Time'!H70*'Monetized Values and Factors'!$O$18</f>
        <v>16739339.188277777</v>
      </c>
      <c r="F26" s="167">
        <f>'VMT Ton-Mile Driver Time'!O27*'Monetized Values and Factors'!$O$17+'VMT Ton-Mile Driver Time'!O70*'Monetized Values and Factors'!$O$18</f>
        <v>25423007.000110075</v>
      </c>
      <c r="G26" s="45">
        <f t="shared" si="2"/>
        <v>8683667.8118322976</v>
      </c>
      <c r="H26" s="177">
        <f t="shared" si="3"/>
        <v>62617579.835873067</v>
      </c>
      <c r="I26" s="44">
        <f t="shared" si="4"/>
        <v>163512283.59589678</v>
      </c>
      <c r="J26" s="45">
        <f t="shared" si="5"/>
        <v>100894703.7600237</v>
      </c>
    </row>
    <row r="27" spans="1:10" x14ac:dyDescent="0.25">
      <c r="A27" s="39">
        <v>2038</v>
      </c>
      <c r="B27" s="174">
        <f>'VMT Ton-Mile Driver Time'!F28*'Monetized Values and Factors'!$M$12+'VMT Ton-Mile Driver Time'!G71*'Monetized Values and Factors'!$M$13</f>
        <v>45878240.647595286</v>
      </c>
      <c r="C27" s="166">
        <f>'VMT Ton-Mile Driver Time'!M28*'Monetized Values and Factors'!$M$12+'VMT Ton-Mile Driver Time'!N71*'Monetized Values and Factors'!$M$13</f>
        <v>138089276.59578669</v>
      </c>
      <c r="D27" s="175">
        <f t="shared" si="1"/>
        <v>92211035.948191404</v>
      </c>
      <c r="E27" s="176">
        <f>'VMT Ton-Mile Driver Time'!H28*'Monetized Values and Factors'!$O$17+'VMT Ton-Mile Driver Time'!H71*'Monetized Values and Factors'!$O$18</f>
        <v>16739339.188277777</v>
      </c>
      <c r="F27" s="167">
        <f>'VMT Ton-Mile Driver Time'!O28*'Monetized Values and Factors'!$O$17+'VMT Ton-Mile Driver Time'!O71*'Monetized Values and Factors'!$O$18</f>
        <v>25423007.000110075</v>
      </c>
      <c r="G27" s="45">
        <f t="shared" si="2"/>
        <v>8683667.8118322976</v>
      </c>
      <c r="H27" s="177">
        <f t="shared" si="3"/>
        <v>62617579.835873067</v>
      </c>
      <c r="I27" s="44">
        <f t="shared" si="4"/>
        <v>163512283.59589678</v>
      </c>
      <c r="J27" s="45">
        <f t="shared" si="5"/>
        <v>100894703.7600237</v>
      </c>
    </row>
    <row r="28" spans="1:10" x14ac:dyDescent="0.25">
      <c r="A28" s="39">
        <v>2039</v>
      </c>
      <c r="B28" s="174">
        <f>'VMT Ton-Mile Driver Time'!F29*'Monetized Values and Factors'!$M$12+'VMT Ton-Mile Driver Time'!G72*'Monetized Values and Factors'!$M$13</f>
        <v>45878240.647595286</v>
      </c>
      <c r="C28" s="166">
        <f>'VMT Ton-Mile Driver Time'!M29*'Monetized Values and Factors'!$M$12+'VMT Ton-Mile Driver Time'!N72*'Monetized Values and Factors'!$M$13</f>
        <v>138089276.59578669</v>
      </c>
      <c r="D28" s="175">
        <f t="shared" si="1"/>
        <v>92211035.948191404</v>
      </c>
      <c r="E28" s="176">
        <f>'VMT Ton-Mile Driver Time'!H29*'Monetized Values and Factors'!$O$17+'VMT Ton-Mile Driver Time'!H72*'Monetized Values and Factors'!$O$18</f>
        <v>16739339.188277777</v>
      </c>
      <c r="F28" s="167">
        <f>'VMT Ton-Mile Driver Time'!O29*'Monetized Values and Factors'!$O$17+'VMT Ton-Mile Driver Time'!O72*'Monetized Values and Factors'!$O$18</f>
        <v>25423007.000110075</v>
      </c>
      <c r="G28" s="45">
        <f t="shared" si="2"/>
        <v>8683667.8118322976</v>
      </c>
      <c r="H28" s="177">
        <f t="shared" si="3"/>
        <v>62617579.835873067</v>
      </c>
      <c r="I28" s="44">
        <f t="shared" si="4"/>
        <v>163512283.59589678</v>
      </c>
      <c r="J28" s="45">
        <f t="shared" si="5"/>
        <v>100894703.7600237</v>
      </c>
    </row>
    <row r="29" spans="1:10" x14ac:dyDescent="0.25">
      <c r="A29" s="39">
        <v>2040</v>
      </c>
      <c r="B29" s="174">
        <f>'VMT Ton-Mile Driver Time'!F30*'Monetized Values and Factors'!$M$12+'VMT Ton-Mile Driver Time'!G73*'Monetized Values and Factors'!$M$13</f>
        <v>45878240.647595286</v>
      </c>
      <c r="C29" s="166">
        <f>'VMT Ton-Mile Driver Time'!M30*'Monetized Values and Factors'!$M$12+'VMT Ton-Mile Driver Time'!N73*'Monetized Values and Factors'!$M$13</f>
        <v>138089276.59578669</v>
      </c>
      <c r="D29" s="175">
        <f t="shared" si="1"/>
        <v>92211035.948191404</v>
      </c>
      <c r="E29" s="176">
        <f>'VMT Ton-Mile Driver Time'!H30*'Monetized Values and Factors'!$O$17+'VMT Ton-Mile Driver Time'!H73*'Monetized Values and Factors'!$O$18</f>
        <v>16739339.188277777</v>
      </c>
      <c r="F29" s="167">
        <f>'VMT Ton-Mile Driver Time'!O30*'Monetized Values and Factors'!$O$17+'VMT Ton-Mile Driver Time'!O73*'Monetized Values and Factors'!$O$18</f>
        <v>25423007.000110075</v>
      </c>
      <c r="G29" s="45">
        <f t="shared" si="2"/>
        <v>8683667.8118322976</v>
      </c>
      <c r="H29" s="177">
        <f t="shared" si="3"/>
        <v>62617579.835873067</v>
      </c>
      <c r="I29" s="44">
        <f t="shared" si="4"/>
        <v>163512283.59589678</v>
      </c>
      <c r="J29" s="45">
        <f t="shared" si="5"/>
        <v>100894703.7600237</v>
      </c>
    </row>
    <row r="30" spans="1:10" x14ac:dyDescent="0.25">
      <c r="A30" s="39">
        <v>2041</v>
      </c>
      <c r="B30" s="174">
        <f>'VMT Ton-Mile Driver Time'!F31*'Monetized Values and Factors'!$M$12+'VMT Ton-Mile Driver Time'!G74*'Monetized Values and Factors'!$M$13</f>
        <v>45878240.647595286</v>
      </c>
      <c r="C30" s="166">
        <f>'VMT Ton-Mile Driver Time'!M31*'Monetized Values and Factors'!$M$12+'VMT Ton-Mile Driver Time'!N74*'Monetized Values and Factors'!$M$13</f>
        <v>138089276.59578669</v>
      </c>
      <c r="D30" s="175">
        <f t="shared" si="1"/>
        <v>92211035.948191404</v>
      </c>
      <c r="E30" s="176">
        <f>'VMT Ton-Mile Driver Time'!H31*'Monetized Values and Factors'!$O$17+'VMT Ton-Mile Driver Time'!H74*'Monetized Values and Factors'!$O$18</f>
        <v>16739339.188277777</v>
      </c>
      <c r="F30" s="167">
        <f>'VMT Ton-Mile Driver Time'!O31*'Monetized Values and Factors'!$O$17+'VMT Ton-Mile Driver Time'!O74*'Monetized Values and Factors'!$O$18</f>
        <v>25423007.000110075</v>
      </c>
      <c r="G30" s="45">
        <f t="shared" si="2"/>
        <v>8683667.8118322976</v>
      </c>
      <c r="H30" s="177">
        <f t="shared" si="3"/>
        <v>62617579.835873067</v>
      </c>
      <c r="I30" s="44">
        <f t="shared" si="4"/>
        <v>163512283.59589678</v>
      </c>
      <c r="J30" s="45">
        <f t="shared" si="5"/>
        <v>100894703.7600237</v>
      </c>
    </row>
    <row r="31" spans="1:10" x14ac:dyDescent="0.25">
      <c r="A31" s="39">
        <v>2042</v>
      </c>
      <c r="B31" s="174">
        <f>'VMT Ton-Mile Driver Time'!F32*'Monetized Values and Factors'!$M$12+'VMT Ton-Mile Driver Time'!G75*'Monetized Values and Factors'!$M$13</f>
        <v>45878240.647595286</v>
      </c>
      <c r="C31" s="166">
        <f>'VMT Ton-Mile Driver Time'!M32*'Monetized Values and Factors'!$M$12+'VMT Ton-Mile Driver Time'!N75*'Monetized Values and Factors'!$M$13</f>
        <v>138089276.59578669</v>
      </c>
      <c r="D31" s="175">
        <f t="shared" si="1"/>
        <v>92211035.948191404</v>
      </c>
      <c r="E31" s="176">
        <f>'VMT Ton-Mile Driver Time'!H32*'Monetized Values and Factors'!$O$17+'VMT Ton-Mile Driver Time'!H75*'Monetized Values and Factors'!$O$18</f>
        <v>16739339.188277777</v>
      </c>
      <c r="F31" s="167">
        <f>'VMT Ton-Mile Driver Time'!O32*'Monetized Values and Factors'!$O$17+'VMT Ton-Mile Driver Time'!O75*'Monetized Values and Factors'!$O$18</f>
        <v>25423007.000110075</v>
      </c>
      <c r="G31" s="45">
        <f t="shared" si="2"/>
        <v>8683667.8118322976</v>
      </c>
      <c r="H31" s="177">
        <f t="shared" si="3"/>
        <v>62617579.835873067</v>
      </c>
      <c r="I31" s="44">
        <f t="shared" si="4"/>
        <v>163512283.59589678</v>
      </c>
      <c r="J31" s="45">
        <f t="shared" si="5"/>
        <v>100894703.7600237</v>
      </c>
    </row>
    <row r="32" spans="1:10" x14ac:dyDescent="0.25">
      <c r="A32" s="39">
        <v>2043</v>
      </c>
      <c r="B32" s="174">
        <f>'VMT Ton-Mile Driver Time'!F33*'Monetized Values and Factors'!$M$12+'VMT Ton-Mile Driver Time'!G76*'Monetized Values and Factors'!$M$13</f>
        <v>45878240.647595286</v>
      </c>
      <c r="C32" s="166">
        <f>'VMT Ton-Mile Driver Time'!M33*'Monetized Values and Factors'!$M$12+'VMT Ton-Mile Driver Time'!N76*'Monetized Values and Factors'!$M$13</f>
        <v>138089276.59578669</v>
      </c>
      <c r="D32" s="175">
        <f t="shared" si="1"/>
        <v>92211035.948191404</v>
      </c>
      <c r="E32" s="176">
        <f>'VMT Ton-Mile Driver Time'!H33*'Monetized Values and Factors'!$O$17+'VMT Ton-Mile Driver Time'!H76*'Monetized Values and Factors'!$O$18</f>
        <v>16739339.188277777</v>
      </c>
      <c r="F32" s="167">
        <f>'VMT Ton-Mile Driver Time'!O33*'Monetized Values and Factors'!$O$17+'VMT Ton-Mile Driver Time'!O76*'Monetized Values and Factors'!$O$18</f>
        <v>25423007.000110075</v>
      </c>
      <c r="G32" s="45">
        <f t="shared" si="2"/>
        <v>8683667.8118322976</v>
      </c>
      <c r="H32" s="177">
        <f t="shared" si="3"/>
        <v>62617579.835873067</v>
      </c>
      <c r="I32" s="44">
        <f t="shared" si="4"/>
        <v>163512283.59589678</v>
      </c>
      <c r="J32" s="45">
        <f t="shared" si="5"/>
        <v>100894703.7600237</v>
      </c>
    </row>
    <row r="33" spans="1:10" x14ac:dyDescent="0.25">
      <c r="A33" s="39">
        <v>2044</v>
      </c>
      <c r="B33" s="174">
        <f>'VMT Ton-Mile Driver Time'!F34*'Monetized Values and Factors'!$M$12+'VMT Ton-Mile Driver Time'!G77*'Monetized Values and Factors'!$M$13</f>
        <v>45878240.647595286</v>
      </c>
      <c r="C33" s="166">
        <f>'VMT Ton-Mile Driver Time'!M34*'Monetized Values and Factors'!$M$12+'VMT Ton-Mile Driver Time'!N77*'Monetized Values and Factors'!$M$13</f>
        <v>138089276.59578669</v>
      </c>
      <c r="D33" s="175">
        <f t="shared" si="1"/>
        <v>92211035.948191404</v>
      </c>
      <c r="E33" s="176">
        <f>'VMT Ton-Mile Driver Time'!H34*'Monetized Values and Factors'!$O$17+'VMT Ton-Mile Driver Time'!H77*'Monetized Values and Factors'!$O$18</f>
        <v>16739339.188277777</v>
      </c>
      <c r="F33" s="167">
        <f>'VMT Ton-Mile Driver Time'!O34*'Monetized Values and Factors'!$O$17+'VMT Ton-Mile Driver Time'!O77*'Monetized Values and Factors'!$O$18</f>
        <v>25423007.000110075</v>
      </c>
      <c r="G33" s="45">
        <f t="shared" si="2"/>
        <v>8683667.8118322976</v>
      </c>
      <c r="H33" s="177">
        <f t="shared" si="3"/>
        <v>62617579.835873067</v>
      </c>
      <c r="I33" s="44">
        <f t="shared" si="4"/>
        <v>163512283.59589678</v>
      </c>
      <c r="J33" s="45">
        <f t="shared" si="5"/>
        <v>100894703.7600237</v>
      </c>
    </row>
    <row r="34" spans="1:10" x14ac:dyDescent="0.25">
      <c r="A34" s="39">
        <v>2045</v>
      </c>
      <c r="B34" s="174">
        <f>'VMT Ton-Mile Driver Time'!F35*'Monetized Values and Factors'!$M$12+'VMT Ton-Mile Driver Time'!G78*'Monetized Values and Factors'!$M$13</f>
        <v>45878240.647595286</v>
      </c>
      <c r="C34" s="166">
        <f>'VMT Ton-Mile Driver Time'!M35*'Monetized Values and Factors'!$M$12+'VMT Ton-Mile Driver Time'!N78*'Monetized Values and Factors'!$M$13</f>
        <v>138089276.59578669</v>
      </c>
      <c r="D34" s="175">
        <f t="shared" si="1"/>
        <v>92211035.948191404</v>
      </c>
      <c r="E34" s="176">
        <f>'VMT Ton-Mile Driver Time'!H35*'Monetized Values and Factors'!$O$17+'VMT Ton-Mile Driver Time'!H78*'Monetized Values and Factors'!$O$18</f>
        <v>16739339.188277777</v>
      </c>
      <c r="F34" s="167">
        <f>'VMT Ton-Mile Driver Time'!O35*'Monetized Values and Factors'!$O$17+'VMT Ton-Mile Driver Time'!O78*'Monetized Values and Factors'!$O$18</f>
        <v>25423007.000110075</v>
      </c>
      <c r="G34" s="45">
        <f t="shared" si="2"/>
        <v>8683667.8118322976</v>
      </c>
      <c r="H34" s="177">
        <f t="shared" si="3"/>
        <v>62617579.835873067</v>
      </c>
      <c r="I34" s="44">
        <f t="shared" si="4"/>
        <v>163512283.59589678</v>
      </c>
      <c r="J34" s="45">
        <f t="shared" si="5"/>
        <v>100894703.7600237</v>
      </c>
    </row>
    <row r="35" spans="1:10" x14ac:dyDescent="0.25">
      <c r="A35" s="39">
        <v>2046</v>
      </c>
      <c r="B35" s="174">
        <f>'VMT Ton-Mile Driver Time'!F36*'Monetized Values and Factors'!$M$12+'VMT Ton-Mile Driver Time'!G79*'Monetized Values and Factors'!$M$13</f>
        <v>45878240.647595286</v>
      </c>
      <c r="C35" s="166">
        <f>'VMT Ton-Mile Driver Time'!M36*'Monetized Values and Factors'!$M$12+'VMT Ton-Mile Driver Time'!N79*'Monetized Values and Factors'!$M$13</f>
        <v>138089276.59578669</v>
      </c>
      <c r="D35" s="175">
        <f t="shared" si="1"/>
        <v>92211035.948191404</v>
      </c>
      <c r="E35" s="176">
        <f>'VMT Ton-Mile Driver Time'!H36*'Monetized Values and Factors'!$O$17+'VMT Ton-Mile Driver Time'!H79*'Monetized Values and Factors'!$O$18</f>
        <v>16739339.188277777</v>
      </c>
      <c r="F35" s="167">
        <f>'VMT Ton-Mile Driver Time'!O36*'Monetized Values and Factors'!$O$17+'VMT Ton-Mile Driver Time'!O79*'Monetized Values and Factors'!$O$18</f>
        <v>25423007.000110075</v>
      </c>
      <c r="G35" s="45">
        <f t="shared" si="2"/>
        <v>8683667.8118322976</v>
      </c>
      <c r="H35" s="177">
        <f t="shared" si="3"/>
        <v>62617579.835873067</v>
      </c>
      <c r="I35" s="44">
        <f t="shared" si="4"/>
        <v>163512283.59589678</v>
      </c>
      <c r="J35" s="45">
        <f t="shared" si="5"/>
        <v>100894703.7600237</v>
      </c>
    </row>
    <row r="36" spans="1:10" x14ac:dyDescent="0.25">
      <c r="A36" s="39">
        <v>2047</v>
      </c>
      <c r="B36" s="174">
        <f>'VMT Ton-Mile Driver Time'!F37*'Monetized Values and Factors'!$M$12+'VMT Ton-Mile Driver Time'!G80*'Monetized Values and Factors'!$M$13</f>
        <v>45878240.647595286</v>
      </c>
      <c r="C36" s="166">
        <f>'VMT Ton-Mile Driver Time'!M37*'Monetized Values and Factors'!$M$12+'VMT Ton-Mile Driver Time'!N80*'Monetized Values and Factors'!$M$13</f>
        <v>138089276.59578669</v>
      </c>
      <c r="D36" s="175">
        <f t="shared" si="1"/>
        <v>92211035.948191404</v>
      </c>
      <c r="E36" s="176">
        <f>'VMT Ton-Mile Driver Time'!H37*'Monetized Values and Factors'!$O$17+'VMT Ton-Mile Driver Time'!H80*'Monetized Values and Factors'!$O$18</f>
        <v>16739339.188277777</v>
      </c>
      <c r="F36" s="167">
        <f>'VMT Ton-Mile Driver Time'!O37*'Monetized Values and Factors'!$O$17+'VMT Ton-Mile Driver Time'!O80*'Monetized Values and Factors'!$O$18</f>
        <v>25423007.000110075</v>
      </c>
      <c r="G36" s="45">
        <f t="shared" si="2"/>
        <v>8683667.8118322976</v>
      </c>
      <c r="H36" s="177">
        <f t="shared" si="3"/>
        <v>62617579.835873067</v>
      </c>
      <c r="I36" s="44">
        <f t="shared" si="4"/>
        <v>163512283.59589678</v>
      </c>
      <c r="J36" s="45">
        <f t="shared" si="5"/>
        <v>100894703.7600237</v>
      </c>
    </row>
    <row r="37" spans="1:10" x14ac:dyDescent="0.25">
      <c r="A37" s="39">
        <v>2048</v>
      </c>
      <c r="B37" s="174">
        <f>'VMT Ton-Mile Driver Time'!F38*'Monetized Values and Factors'!$M$12+'VMT Ton-Mile Driver Time'!G81*'Monetized Values and Factors'!$M$13</f>
        <v>45878240.647595286</v>
      </c>
      <c r="C37" s="166">
        <f>'VMT Ton-Mile Driver Time'!M38*'Monetized Values and Factors'!$M$12+'VMT Ton-Mile Driver Time'!N81*'Monetized Values and Factors'!$M$13</f>
        <v>138089276.59578669</v>
      </c>
      <c r="D37" s="175">
        <f t="shared" si="1"/>
        <v>92211035.948191404</v>
      </c>
      <c r="E37" s="176">
        <f>'VMT Ton-Mile Driver Time'!H38*'Monetized Values and Factors'!$O$17+'VMT Ton-Mile Driver Time'!H81*'Monetized Values and Factors'!$O$18</f>
        <v>16739339.188277777</v>
      </c>
      <c r="F37" s="167">
        <f>'VMT Ton-Mile Driver Time'!O38*'Monetized Values and Factors'!$O$17+'VMT Ton-Mile Driver Time'!O81*'Monetized Values and Factors'!$O$18</f>
        <v>25423007.000110075</v>
      </c>
      <c r="G37" s="45">
        <f t="shared" si="2"/>
        <v>8683667.8118322976</v>
      </c>
      <c r="H37" s="177">
        <f t="shared" si="3"/>
        <v>62617579.835873067</v>
      </c>
      <c r="I37" s="44">
        <f t="shared" si="4"/>
        <v>163512283.59589678</v>
      </c>
      <c r="J37" s="45">
        <f t="shared" si="5"/>
        <v>100894703.7600237</v>
      </c>
    </row>
    <row r="38" spans="1:10" x14ac:dyDescent="0.25">
      <c r="A38" s="39">
        <v>2049</v>
      </c>
      <c r="B38" s="174">
        <f>'VMT Ton-Mile Driver Time'!F39*'Monetized Values and Factors'!$M$12+'VMT Ton-Mile Driver Time'!G82*'Monetized Values and Factors'!$M$13</f>
        <v>45878240.647595286</v>
      </c>
      <c r="C38" s="166">
        <f>'VMT Ton-Mile Driver Time'!M39*'Monetized Values and Factors'!$M$12+'VMT Ton-Mile Driver Time'!N82*'Monetized Values and Factors'!$M$13</f>
        <v>138089276.59578669</v>
      </c>
      <c r="D38" s="175">
        <f t="shared" si="1"/>
        <v>92211035.948191404</v>
      </c>
      <c r="E38" s="176">
        <f>'VMT Ton-Mile Driver Time'!H39*'Monetized Values and Factors'!$O$17+'VMT Ton-Mile Driver Time'!H82*'Monetized Values and Factors'!$O$18</f>
        <v>16739339.188277777</v>
      </c>
      <c r="F38" s="167">
        <f>'VMT Ton-Mile Driver Time'!O39*'Monetized Values and Factors'!$O$17+'VMT Ton-Mile Driver Time'!O82*'Monetized Values and Factors'!$O$18</f>
        <v>25423007.000110075</v>
      </c>
      <c r="G38" s="45">
        <f t="shared" si="2"/>
        <v>8683667.8118322976</v>
      </c>
      <c r="H38" s="177">
        <f t="shared" si="3"/>
        <v>62617579.835873067</v>
      </c>
      <c r="I38" s="44">
        <f t="shared" si="4"/>
        <v>163512283.59589678</v>
      </c>
      <c r="J38" s="45">
        <f t="shared" si="5"/>
        <v>100894703.7600237</v>
      </c>
    </row>
    <row r="39" spans="1:10" x14ac:dyDescent="0.25">
      <c r="A39" s="39">
        <v>2050</v>
      </c>
      <c r="B39" s="174">
        <f>'VMT Ton-Mile Driver Time'!F40*'Monetized Values and Factors'!$M$12+'VMT Ton-Mile Driver Time'!G83*'Monetized Values and Factors'!$M$13</f>
        <v>45878240.647595286</v>
      </c>
      <c r="C39" s="166">
        <f>'VMT Ton-Mile Driver Time'!M40*'Monetized Values and Factors'!$M$12+'VMT Ton-Mile Driver Time'!N83*'Monetized Values and Factors'!$M$13</f>
        <v>138089276.59578669</v>
      </c>
      <c r="D39" s="175">
        <f t="shared" si="1"/>
        <v>92211035.948191404</v>
      </c>
      <c r="E39" s="176">
        <f>'VMT Ton-Mile Driver Time'!H40*'Monetized Values and Factors'!$O$17+'VMT Ton-Mile Driver Time'!H83*'Monetized Values and Factors'!$O$18</f>
        <v>16739339.188277777</v>
      </c>
      <c r="F39" s="167">
        <f>'VMT Ton-Mile Driver Time'!O40*'Monetized Values and Factors'!$O$17+'VMT Ton-Mile Driver Time'!O83*'Monetized Values and Factors'!$O$18</f>
        <v>25423007.000110075</v>
      </c>
      <c r="G39" s="45">
        <f t="shared" si="2"/>
        <v>8683667.8118322976</v>
      </c>
      <c r="H39" s="177">
        <f t="shared" si="3"/>
        <v>62617579.835873067</v>
      </c>
      <c r="I39" s="44">
        <f t="shared" si="4"/>
        <v>163512283.59589678</v>
      </c>
      <c r="J39" s="45">
        <f t="shared" si="5"/>
        <v>100894703.7600237</v>
      </c>
    </row>
    <row r="40" spans="1:10" x14ac:dyDescent="0.25">
      <c r="A40" s="201">
        <v>2051</v>
      </c>
      <c r="B40" s="384">
        <f>'VMT Ton-Mile Driver Time'!F41*'Monetized Values and Factors'!$M$12+'VMT Ton-Mile Driver Time'!G84*'Monetized Values and Factors'!$M$13</f>
        <v>45878240.647595286</v>
      </c>
      <c r="C40" s="385">
        <f>'VMT Ton-Mile Driver Time'!M41*'Monetized Values and Factors'!$M$12+'VMT Ton-Mile Driver Time'!N84*'Monetized Values and Factors'!$M$13</f>
        <v>138089276.59578669</v>
      </c>
      <c r="D40" s="366">
        <f t="shared" si="1"/>
        <v>92211035.948191404</v>
      </c>
      <c r="E40" s="386">
        <f>'VMT Ton-Mile Driver Time'!H41*'Monetized Values and Factors'!$O$17+'VMT Ton-Mile Driver Time'!H84*'Monetized Values and Factors'!$O$18</f>
        <v>16739339.188277777</v>
      </c>
      <c r="F40" s="387">
        <f>'VMT Ton-Mile Driver Time'!O41*'Monetized Values and Factors'!$O$17+'VMT Ton-Mile Driver Time'!O84*'Monetized Values and Factors'!$O$18</f>
        <v>25423007.000110075</v>
      </c>
      <c r="G40" s="206">
        <f t="shared" si="2"/>
        <v>8683667.8118322976</v>
      </c>
      <c r="H40" s="383">
        <f t="shared" si="3"/>
        <v>62617579.835873067</v>
      </c>
      <c r="I40" s="205">
        <f t="shared" si="4"/>
        <v>163512283.59589678</v>
      </c>
      <c r="J40" s="206">
        <f t="shared" si="5"/>
        <v>100894703.7600237</v>
      </c>
    </row>
    <row r="41" spans="1:10" ht="15.75" thickBot="1" x14ac:dyDescent="0.3">
      <c r="A41" s="168" t="s">
        <v>2</v>
      </c>
      <c r="B41" s="178">
        <f t="shared" ref="B41:G41" si="6">SUM(B4:B40)</f>
        <v>1123702661.3411012</v>
      </c>
      <c r="C41" s="169">
        <f t="shared" si="6"/>
        <v>3382241459.6337872</v>
      </c>
      <c r="D41" s="170">
        <f t="shared" si="6"/>
        <v>2258538798.2926884</v>
      </c>
      <c r="E41" s="178">
        <f t="shared" si="6"/>
        <v>409999157.10466671</v>
      </c>
      <c r="F41" s="169">
        <f t="shared" si="6"/>
        <v>622689541.31776464</v>
      </c>
      <c r="G41" s="170">
        <f t="shared" si="6"/>
        <v>212690384.21309799</v>
      </c>
      <c r="H41" s="178">
        <f t="shared" si="3"/>
        <v>1533701818.4457679</v>
      </c>
      <c r="I41" s="169">
        <f t="shared" si="4"/>
        <v>4004931000.9515519</v>
      </c>
      <c r="J41" s="170">
        <f t="shared" si="5"/>
        <v>2471229182.5057864</v>
      </c>
    </row>
    <row r="44" spans="1:10" x14ac:dyDescent="0.25">
      <c r="B44" s="312">
        <f t="shared" ref="B44:C44" si="7">B41/30</f>
        <v>37456755.378036708</v>
      </c>
      <c r="C44" s="312">
        <f t="shared" si="7"/>
        <v>112741381.98779291</v>
      </c>
      <c r="D44" s="312">
        <f>D41/30</f>
        <v>75284626.609756276</v>
      </c>
      <c r="E44" s="312">
        <f t="shared" ref="E44:J44" si="8">E41/30</f>
        <v>13666638.570155557</v>
      </c>
      <c r="F44" s="312">
        <f t="shared" si="8"/>
        <v>20756318.043925487</v>
      </c>
      <c r="G44" s="312">
        <f t="shared" si="8"/>
        <v>7089679.473769933</v>
      </c>
      <c r="H44" s="312">
        <f t="shared" si="8"/>
        <v>51123393.948192261</v>
      </c>
      <c r="I44" s="312">
        <f t="shared" si="8"/>
        <v>133497700.0317184</v>
      </c>
      <c r="J44" s="312">
        <f t="shared" si="8"/>
        <v>82374306.083526209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opLeftCell="A76" zoomScale="80" zoomScaleNormal="80" workbookViewId="0">
      <selection activeCell="H92" sqref="H92"/>
    </sheetView>
  </sheetViews>
  <sheetFormatPr defaultRowHeight="15" x14ac:dyDescent="0.25"/>
  <cols>
    <col min="1" max="1" width="14.42578125" customWidth="1"/>
    <col min="2" max="2" width="19.85546875" customWidth="1"/>
    <col min="3" max="3" width="16" customWidth="1"/>
    <col min="4" max="4" width="21.42578125" customWidth="1"/>
    <col min="5" max="5" width="18.5703125" customWidth="1"/>
    <col min="6" max="6" width="17.85546875" customWidth="1"/>
    <col min="7" max="7" width="21.85546875" customWidth="1"/>
    <col min="8" max="8" width="18.28515625" customWidth="1"/>
    <col min="9" max="9" width="17.140625" customWidth="1"/>
    <col min="10" max="10" width="16.5703125" customWidth="1"/>
    <col min="11" max="11" width="14.28515625" customWidth="1"/>
    <col min="12" max="12" width="14.85546875" customWidth="1"/>
  </cols>
  <sheetData>
    <row r="1" spans="1:12" ht="19.5" thickBot="1" x14ac:dyDescent="0.35">
      <c r="A1" s="507" t="s">
        <v>440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9"/>
    </row>
    <row r="2" spans="1:12" ht="19.5" thickBot="1" x14ac:dyDescent="0.35">
      <c r="A2" s="510" t="s">
        <v>117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2"/>
    </row>
    <row r="3" spans="1:12" ht="45" x14ac:dyDescent="0.25">
      <c r="A3" s="20" t="s">
        <v>3</v>
      </c>
      <c r="B3" s="172" t="s">
        <v>269</v>
      </c>
      <c r="C3" s="172" t="s">
        <v>285</v>
      </c>
      <c r="D3" s="172" t="s">
        <v>270</v>
      </c>
      <c r="E3" s="172" t="s">
        <v>287</v>
      </c>
      <c r="F3" s="172" t="s">
        <v>271</v>
      </c>
      <c r="G3" s="172" t="s">
        <v>272</v>
      </c>
      <c r="H3" s="172" t="s">
        <v>429</v>
      </c>
      <c r="I3" s="172" t="s">
        <v>430</v>
      </c>
      <c r="J3" s="172" t="s">
        <v>431</v>
      </c>
      <c r="K3" s="172" t="s">
        <v>432</v>
      </c>
      <c r="L3" s="173" t="s">
        <v>433</v>
      </c>
    </row>
    <row r="4" spans="1:12" x14ac:dyDescent="0.25">
      <c r="A4" s="39">
        <v>2014</v>
      </c>
      <c r="B4" s="4">
        <f>('VMT Ton-Mile Driver Time'!G4/'Monetized Values and Factors'!M$24)+('VMT Ton-Mile Driver Time'!G47/'Monetized Values and Factors'!$M$25)</f>
        <v>0</v>
      </c>
      <c r="C4" s="203">
        <f>((('VMT Ton-Mile Driver Time'!$C4*'Emissions - Truck'!AJ9)+('VMT Ton-Mile Driver Time'!$D4*'Emissions - Truck'!BT9)+('VMT Ton-Mile Driver Time'!$E4*'Emissions - Truck'!BK9))/1000000)+('VMT Ton-Mile Driver Time'!$G47*'Emissions - Rail'!$C$3/1000000)</f>
        <v>0</v>
      </c>
      <c r="D4" s="203">
        <f>((('VMT Ton-Mile Driver Time'!$C4*'Emissions - Truck'!AK9)+('VMT Ton-Mile Driver Time'!$D4*'Emissions - Truck'!BU9)+('VMT Ton-Mile Driver Time'!$E4*'Emissions - Truck'!BL9))/1000000)+('VMT Ton-Mile Driver Time'!$G47*'Emissions - Rail'!$D$3/1000000)</f>
        <v>0</v>
      </c>
      <c r="E4" s="203">
        <f>((('VMT Ton-Mile Driver Time'!$C4*'Emissions - Truck'!AL9)+('VMT Ton-Mile Driver Time'!$D4*'Emissions - Truck'!BV9)+('VMT Ton-Mile Driver Time'!$E4*'Emissions - Truck'!BM9))/1000000)+('VMT Ton-Mile Driver Time'!$G47*'Emissions - Rail'!$E$3/1000000)</f>
        <v>0</v>
      </c>
      <c r="F4" s="43">
        <f>((('VMT Ton-Mile Driver Time'!$C4*'Emissions - Truck'!AM9)+('VMT Ton-Mile Driver Time'!$D4*'Emissions - Truck'!BW9)+('VMT Ton-Mile Driver Time'!$E4*'Emissions - Truck'!BN9))/1000000)</f>
        <v>0</v>
      </c>
      <c r="G4" s="203">
        <f>((('VMT Ton-Mile Driver Time'!$C4*'Emissions - Truck'!AN9)+('VMT Ton-Mile Driver Time'!$D4*'Emissions - Truck'!BX9)+('VMT Ton-Mile Driver Time'!$E4*'Emissions - Truck'!BO9))/1000000)</f>
        <v>0</v>
      </c>
      <c r="H4" s="44">
        <f>C4*'Monetized Values and Factors'!N44</f>
        <v>0</v>
      </c>
      <c r="I4" s="44">
        <f>D4*'Monetized Values and Factors'!$O$34</f>
        <v>0</v>
      </c>
      <c r="J4" s="44">
        <f>E4*'Monetized Values and Factors'!$O$35</f>
        <v>0</v>
      </c>
      <c r="K4" s="44">
        <f>F4*'Monetized Values and Factors'!$O$36</f>
        <v>0</v>
      </c>
      <c r="L4" s="45">
        <f>G4*'Monetized Values and Factors'!$O$33</f>
        <v>0</v>
      </c>
    </row>
    <row r="5" spans="1:12" x14ac:dyDescent="0.25">
      <c r="A5" s="39">
        <v>2015</v>
      </c>
      <c r="B5" s="4">
        <f>('VMT Ton-Mile Driver Time'!G5/'Monetized Values and Factors'!M$24)+('VMT Ton-Mile Driver Time'!G48/'Monetized Values and Factors'!$M$25)</f>
        <v>0</v>
      </c>
      <c r="C5" s="203">
        <f>((('VMT Ton-Mile Driver Time'!$C5*'Emissions - Truck'!AJ9)+('VMT Ton-Mile Driver Time'!$D5*'Emissions - Truck'!BT9)+('VMT Ton-Mile Driver Time'!$E5*'Emissions - Truck'!BK9))/1000000)+('VMT Ton-Mile Driver Time'!$G48*'Emissions - Rail'!$C$3/1000000)</f>
        <v>0</v>
      </c>
      <c r="D5" s="203">
        <f>((('VMT Ton-Mile Driver Time'!$C5*'Emissions - Truck'!AK9)+('VMT Ton-Mile Driver Time'!$D5*'Emissions - Truck'!BU9)+('VMT Ton-Mile Driver Time'!$E5*'Emissions - Truck'!BL9))/1000000)+('VMT Ton-Mile Driver Time'!$G48*'Emissions - Rail'!$D$3/1000000)</f>
        <v>0</v>
      </c>
      <c r="E5" s="203">
        <f>((('VMT Ton-Mile Driver Time'!$C5*'Emissions - Truck'!AL9)+('VMT Ton-Mile Driver Time'!$D5*'Emissions - Truck'!BV9)+('VMT Ton-Mile Driver Time'!$E5*'Emissions - Truck'!BM9))/1000000)+('VMT Ton-Mile Driver Time'!$G48*'Emissions - Rail'!$E$3/1000000)</f>
        <v>0</v>
      </c>
      <c r="F5" s="43">
        <f>((('VMT Ton-Mile Driver Time'!$C5*'Emissions - Truck'!AM9)+('VMT Ton-Mile Driver Time'!$D5*'Emissions - Truck'!BW9)+('VMT Ton-Mile Driver Time'!$E5*'Emissions - Truck'!BN9))/1000000)</f>
        <v>0</v>
      </c>
      <c r="G5" s="203">
        <f>((('VMT Ton-Mile Driver Time'!$C5*'Emissions - Truck'!AN9)+('VMT Ton-Mile Driver Time'!$D5*'Emissions - Truck'!BX9)+('VMT Ton-Mile Driver Time'!$E5*'Emissions - Truck'!BO9))/1000000)</f>
        <v>0</v>
      </c>
      <c r="H5" s="44">
        <f>C5*'Monetized Values and Factors'!N45</f>
        <v>0</v>
      </c>
      <c r="I5" s="44">
        <f>D5*'Monetized Values and Factors'!$O$34</f>
        <v>0</v>
      </c>
      <c r="J5" s="44">
        <f>E5*'Monetized Values and Factors'!$O$35</f>
        <v>0</v>
      </c>
      <c r="K5" s="44">
        <f>F5*'Monetized Values and Factors'!$O$36</f>
        <v>0</v>
      </c>
      <c r="L5" s="45">
        <f>G5*'Monetized Values and Factors'!$O$33</f>
        <v>0</v>
      </c>
    </row>
    <row r="6" spans="1:12" x14ac:dyDescent="0.25">
      <c r="A6" s="39">
        <v>2016</v>
      </c>
      <c r="B6" s="4">
        <f>('VMT Ton-Mile Driver Time'!G6/'Monetized Values and Factors'!M$24)+('VMT Ton-Mile Driver Time'!G49/'Monetized Values and Factors'!$M$25)</f>
        <v>0</v>
      </c>
      <c r="C6" s="203">
        <f>((('VMT Ton-Mile Driver Time'!$C6*'Emissions - Truck'!AJ9)+('VMT Ton-Mile Driver Time'!$D6*'Emissions - Truck'!BT9)+('VMT Ton-Mile Driver Time'!$E6*'Emissions - Truck'!BK9))/1000000)+('VMT Ton-Mile Driver Time'!$G49*'Emissions - Rail'!$C$3/1000000)</f>
        <v>0</v>
      </c>
      <c r="D6" s="203">
        <f>((('VMT Ton-Mile Driver Time'!$C6*'Emissions - Truck'!AK9)+('VMT Ton-Mile Driver Time'!$D6*'Emissions - Truck'!BU9)+('VMT Ton-Mile Driver Time'!$E6*'Emissions - Truck'!BL9))/1000000)+('VMT Ton-Mile Driver Time'!$G49*'Emissions - Rail'!$D$3/1000000)</f>
        <v>0</v>
      </c>
      <c r="E6" s="203">
        <f>((('VMT Ton-Mile Driver Time'!$C6*'Emissions - Truck'!AL9)+('VMT Ton-Mile Driver Time'!$D6*'Emissions - Truck'!BV9)+('VMT Ton-Mile Driver Time'!$E6*'Emissions - Truck'!BM9))/1000000)+('VMT Ton-Mile Driver Time'!$G49*'Emissions - Rail'!$E$3/1000000)</f>
        <v>0</v>
      </c>
      <c r="F6" s="43">
        <f>((('VMT Ton-Mile Driver Time'!$C6*'Emissions - Truck'!AM9)+('VMT Ton-Mile Driver Time'!$D6*'Emissions - Truck'!BW9)+('VMT Ton-Mile Driver Time'!$E6*'Emissions - Truck'!BN9))/1000000)</f>
        <v>0</v>
      </c>
      <c r="G6" s="203">
        <f>((('VMT Ton-Mile Driver Time'!$C6*'Emissions - Truck'!AN9)+('VMT Ton-Mile Driver Time'!$D6*'Emissions - Truck'!BX9)+('VMT Ton-Mile Driver Time'!$E6*'Emissions - Truck'!BO9))/1000000)</f>
        <v>0</v>
      </c>
      <c r="H6" s="44">
        <f>C6*'Monetized Values and Factors'!N46</f>
        <v>0</v>
      </c>
      <c r="I6" s="44">
        <f>D6*'Monetized Values and Factors'!$O$34</f>
        <v>0</v>
      </c>
      <c r="J6" s="44">
        <f>E6*'Monetized Values and Factors'!$O$35</f>
        <v>0</v>
      </c>
      <c r="K6" s="44">
        <f>F6*'Monetized Values and Factors'!$O$36</f>
        <v>0</v>
      </c>
      <c r="L6" s="45">
        <f>G6*'Monetized Values and Factors'!$O$33</f>
        <v>0</v>
      </c>
    </row>
    <row r="7" spans="1:12" x14ac:dyDescent="0.25">
      <c r="A7" s="39">
        <v>2017</v>
      </c>
      <c r="B7" s="4">
        <f>('VMT Ton-Mile Driver Time'!G7/'Monetized Values and Factors'!M$24)+('VMT Ton-Mile Driver Time'!G50/'Monetized Values and Factors'!$M$25)</f>
        <v>0</v>
      </c>
      <c r="C7" s="203">
        <f>((('VMT Ton-Mile Driver Time'!$C7*'Emissions - Truck'!AJ10)+('VMT Ton-Mile Driver Time'!$D7*'Emissions - Truck'!BT10)+('VMT Ton-Mile Driver Time'!$E7*'Emissions - Truck'!BK10))/1000000)+('VMT Ton-Mile Driver Time'!$G50*'Emissions - Rail'!$C$3/1000000)</f>
        <v>0</v>
      </c>
      <c r="D7" s="203">
        <f>((('VMT Ton-Mile Driver Time'!$C7*'Emissions - Truck'!AK10)+('VMT Ton-Mile Driver Time'!$D7*'Emissions - Truck'!BU10)+('VMT Ton-Mile Driver Time'!$E7*'Emissions - Truck'!BL10))/1000000)+('VMT Ton-Mile Driver Time'!$G50*'Emissions - Rail'!$D$3/1000000)</f>
        <v>0</v>
      </c>
      <c r="E7" s="203">
        <f>((('VMT Ton-Mile Driver Time'!$C7*'Emissions - Truck'!AL10)+('VMT Ton-Mile Driver Time'!$D7*'Emissions - Truck'!BV10)+('VMT Ton-Mile Driver Time'!$E7*'Emissions - Truck'!BM10))/1000000)+('VMT Ton-Mile Driver Time'!$G50*'Emissions - Rail'!$E$3/1000000)</f>
        <v>0</v>
      </c>
      <c r="F7" s="43">
        <f>((('VMT Ton-Mile Driver Time'!$C7*'Emissions - Truck'!AM10)+('VMT Ton-Mile Driver Time'!$D7*'Emissions - Truck'!BW10)+('VMT Ton-Mile Driver Time'!$E7*'Emissions - Truck'!BN10))/1000000)</f>
        <v>0</v>
      </c>
      <c r="G7" s="203">
        <f>((('VMT Ton-Mile Driver Time'!$C7*'Emissions - Truck'!AN10)+('VMT Ton-Mile Driver Time'!$D7*'Emissions - Truck'!BX10)+('VMT Ton-Mile Driver Time'!$E7*'Emissions - Truck'!BO10))/1000000)</f>
        <v>0</v>
      </c>
      <c r="H7" s="44">
        <f>C7*'Monetized Values and Factors'!N47</f>
        <v>0</v>
      </c>
      <c r="I7" s="44">
        <f>D7*'Monetized Values and Factors'!$O$34</f>
        <v>0</v>
      </c>
      <c r="J7" s="44">
        <f>E7*'Monetized Values and Factors'!$O$35</f>
        <v>0</v>
      </c>
      <c r="K7" s="44">
        <f>F7*'Monetized Values and Factors'!$O$36</f>
        <v>0</v>
      </c>
      <c r="L7" s="45">
        <f>G7*'Monetized Values and Factors'!$O$33</f>
        <v>0</v>
      </c>
    </row>
    <row r="8" spans="1:12" x14ac:dyDescent="0.25">
      <c r="A8" s="39">
        <v>2018</v>
      </c>
      <c r="B8" s="4">
        <f>('VMT Ton-Mile Driver Time'!G8/'Monetized Values and Factors'!M$24)+('VMT Ton-Mile Driver Time'!G51/'Monetized Values and Factors'!$M$25)</f>
        <v>0</v>
      </c>
      <c r="C8" s="203">
        <f>((('VMT Ton-Mile Driver Time'!$C8*'Emissions - Truck'!AJ11)+('VMT Ton-Mile Driver Time'!$D8*'Emissions - Truck'!BT11)+('VMT Ton-Mile Driver Time'!$E8*'Emissions - Truck'!BK11))/1000000)+('VMT Ton-Mile Driver Time'!$G51*'Emissions - Rail'!$C$3/1000000)</f>
        <v>0</v>
      </c>
      <c r="D8" s="203">
        <f>((('VMT Ton-Mile Driver Time'!$C8*'Emissions - Truck'!AK11)+('VMT Ton-Mile Driver Time'!$D8*'Emissions - Truck'!BU11)+('VMT Ton-Mile Driver Time'!$E8*'Emissions - Truck'!BL11))/1000000)+('VMT Ton-Mile Driver Time'!$G51*'Emissions - Rail'!$D$3/1000000)</f>
        <v>0</v>
      </c>
      <c r="E8" s="203">
        <f>((('VMT Ton-Mile Driver Time'!$C8*'Emissions - Truck'!AL11)+('VMT Ton-Mile Driver Time'!$D8*'Emissions - Truck'!BV11)+('VMT Ton-Mile Driver Time'!$E8*'Emissions - Truck'!BM11))/1000000)+('VMT Ton-Mile Driver Time'!$G51*'Emissions - Rail'!$E$3/1000000)</f>
        <v>0</v>
      </c>
      <c r="F8" s="43">
        <f>((('VMT Ton-Mile Driver Time'!$C8*'Emissions - Truck'!AM11)+('VMT Ton-Mile Driver Time'!$D8*'Emissions - Truck'!BW11)+('VMT Ton-Mile Driver Time'!$E8*'Emissions - Truck'!BN11))/1000000)</f>
        <v>0</v>
      </c>
      <c r="G8" s="203">
        <f>((('VMT Ton-Mile Driver Time'!$C8*'Emissions - Truck'!AN11)+('VMT Ton-Mile Driver Time'!$D8*'Emissions - Truck'!BX11)+('VMT Ton-Mile Driver Time'!$E8*'Emissions - Truck'!BO11))/1000000)</f>
        <v>0</v>
      </c>
      <c r="H8" s="44">
        <f>C8*'Monetized Values and Factors'!N48</f>
        <v>0</v>
      </c>
      <c r="I8" s="44">
        <f>D8*'Monetized Values and Factors'!$O$34</f>
        <v>0</v>
      </c>
      <c r="J8" s="44">
        <f>E8*'Monetized Values and Factors'!$O$35</f>
        <v>0</v>
      </c>
      <c r="K8" s="44">
        <f>F8*'Monetized Values and Factors'!$O$36</f>
        <v>0</v>
      </c>
      <c r="L8" s="45">
        <f>G8*'Monetized Values and Factors'!$O$33</f>
        <v>0</v>
      </c>
    </row>
    <row r="9" spans="1:12" x14ac:dyDescent="0.25">
      <c r="A9" s="39">
        <v>2019</v>
      </c>
      <c r="B9" s="4">
        <f>('VMT Ton-Mile Driver Time'!G9/'Monetized Values and Factors'!M$24)+('VMT Ton-Mile Driver Time'!G52/'Monetized Values and Factors'!$M$25)</f>
        <v>0</v>
      </c>
      <c r="C9" s="203">
        <f>((('VMT Ton-Mile Driver Time'!$C9*'Emissions - Truck'!AJ12)+('VMT Ton-Mile Driver Time'!$D9*'Emissions - Truck'!BT12)+('VMT Ton-Mile Driver Time'!$E9*'Emissions - Truck'!BK12))/1000000)+('VMT Ton-Mile Driver Time'!$G52*'Emissions - Rail'!$C$3/1000000)</f>
        <v>0</v>
      </c>
      <c r="D9" s="203">
        <f>((('VMT Ton-Mile Driver Time'!$C9*'Emissions - Truck'!AK12)+('VMT Ton-Mile Driver Time'!$D9*'Emissions - Truck'!BU12)+('VMT Ton-Mile Driver Time'!$E9*'Emissions - Truck'!BL12))/1000000)+('VMT Ton-Mile Driver Time'!$G52*'Emissions - Rail'!$D$3/1000000)</f>
        <v>0</v>
      </c>
      <c r="E9" s="203">
        <f>((('VMT Ton-Mile Driver Time'!$C9*'Emissions - Truck'!AL12)+('VMT Ton-Mile Driver Time'!$D9*'Emissions - Truck'!BV12)+('VMT Ton-Mile Driver Time'!$E9*'Emissions - Truck'!BM12))/1000000)+('VMT Ton-Mile Driver Time'!$G52*'Emissions - Rail'!$E$3/1000000)</f>
        <v>0</v>
      </c>
      <c r="F9" s="43">
        <f>((('VMT Ton-Mile Driver Time'!$C9*'Emissions - Truck'!AM12)+('VMT Ton-Mile Driver Time'!$D9*'Emissions - Truck'!BW12)+('VMT Ton-Mile Driver Time'!$E9*'Emissions - Truck'!BN12))/1000000)</f>
        <v>0</v>
      </c>
      <c r="G9" s="203">
        <f>((('VMT Ton-Mile Driver Time'!$C9*'Emissions - Truck'!AN12)+('VMT Ton-Mile Driver Time'!$D9*'Emissions - Truck'!BX12)+('VMT Ton-Mile Driver Time'!$E9*'Emissions - Truck'!BO12))/1000000)</f>
        <v>0</v>
      </c>
      <c r="H9" s="44">
        <f>C9*'Monetized Values and Factors'!N49</f>
        <v>0</v>
      </c>
      <c r="I9" s="44">
        <f>D9*'Monetized Values and Factors'!$O$34</f>
        <v>0</v>
      </c>
      <c r="J9" s="44">
        <f>E9*'Monetized Values and Factors'!$O$35</f>
        <v>0</v>
      </c>
      <c r="K9" s="44">
        <f>F9*'Monetized Values and Factors'!$O$36</f>
        <v>0</v>
      </c>
      <c r="L9" s="45">
        <f>G9*'Monetized Values and Factors'!$O$33</f>
        <v>0</v>
      </c>
    </row>
    <row r="10" spans="1:12" x14ac:dyDescent="0.25">
      <c r="A10" s="39">
        <v>2020</v>
      </c>
      <c r="B10" s="4">
        <f>('VMT Ton-Mile Driver Time'!G10/'Monetized Values and Factors'!M$24)+('VMT Ton-Mile Driver Time'!G53/'Monetized Values and Factors'!$M$25)</f>
        <v>0</v>
      </c>
      <c r="C10" s="203">
        <f>((('VMT Ton-Mile Driver Time'!$C10*'Emissions - Truck'!AJ13)+('VMT Ton-Mile Driver Time'!$D10*'Emissions - Truck'!BT13)+('VMT Ton-Mile Driver Time'!$E10*'Emissions - Truck'!BK13))/1000000)+('VMT Ton-Mile Driver Time'!$G53*'Emissions - Rail'!$C$3/1000000)</f>
        <v>0</v>
      </c>
      <c r="D10" s="203">
        <f>((('VMT Ton-Mile Driver Time'!$C10*'Emissions - Truck'!AK13)+('VMT Ton-Mile Driver Time'!$D10*'Emissions - Truck'!BU13)+('VMT Ton-Mile Driver Time'!$E10*'Emissions - Truck'!BL13))/1000000)+('VMT Ton-Mile Driver Time'!$G53*'Emissions - Rail'!$D$3/1000000)</f>
        <v>0</v>
      </c>
      <c r="E10" s="203">
        <f>((('VMT Ton-Mile Driver Time'!$C10*'Emissions - Truck'!AL13)+('VMT Ton-Mile Driver Time'!$D10*'Emissions - Truck'!BV13)+('VMT Ton-Mile Driver Time'!$E10*'Emissions - Truck'!BM13))/1000000)+('VMT Ton-Mile Driver Time'!$G53*'Emissions - Rail'!$E$3/1000000)</f>
        <v>0</v>
      </c>
      <c r="F10" s="43">
        <f>((('VMT Ton-Mile Driver Time'!$C10*'Emissions - Truck'!AM13)+('VMT Ton-Mile Driver Time'!$D10*'Emissions - Truck'!BW13)+('VMT Ton-Mile Driver Time'!$E10*'Emissions - Truck'!BN13))/1000000)</f>
        <v>0</v>
      </c>
      <c r="G10" s="203">
        <f>((('VMT Ton-Mile Driver Time'!$C10*'Emissions - Truck'!AN13)+('VMT Ton-Mile Driver Time'!$D10*'Emissions - Truck'!BX13)+('VMT Ton-Mile Driver Time'!$E10*'Emissions - Truck'!BO13))/1000000)</f>
        <v>0</v>
      </c>
      <c r="H10" s="44">
        <f>C10*'Monetized Values and Factors'!N50</f>
        <v>0</v>
      </c>
      <c r="I10" s="44">
        <f>D10*'Monetized Values and Factors'!$O$34</f>
        <v>0</v>
      </c>
      <c r="J10" s="44">
        <f>E10*'Monetized Values and Factors'!$O$35</f>
        <v>0</v>
      </c>
      <c r="K10" s="44">
        <f>F10*'Monetized Values and Factors'!$O$36</f>
        <v>0</v>
      </c>
      <c r="L10" s="45">
        <f>G10*'Monetized Values and Factors'!$O$33</f>
        <v>0</v>
      </c>
    </row>
    <row r="11" spans="1:12" x14ac:dyDescent="0.25">
      <c r="A11" s="39">
        <v>2021</v>
      </c>
      <c r="B11" s="4">
        <f>('VMT Ton-Mile Driver Time'!G11/'Monetized Values and Factors'!M$24)+('VMT Ton-Mile Driver Time'!G54/'Monetized Values and Factors'!$M$25)</f>
        <v>0</v>
      </c>
      <c r="C11" s="203">
        <f>((('VMT Ton-Mile Driver Time'!$C11*'Emissions - Truck'!AJ14)+('VMT Ton-Mile Driver Time'!$D11*'Emissions - Truck'!BT14)+('VMT Ton-Mile Driver Time'!$E11*'Emissions - Truck'!BK14))/1000000)+('VMT Ton-Mile Driver Time'!$G54*'Emissions - Rail'!$C$3/1000000)</f>
        <v>0</v>
      </c>
      <c r="D11" s="203">
        <f>((('VMT Ton-Mile Driver Time'!$C11*'Emissions - Truck'!AK14)+('VMT Ton-Mile Driver Time'!$D11*'Emissions - Truck'!BU14)+('VMT Ton-Mile Driver Time'!$E11*'Emissions - Truck'!BL14))/1000000)+('VMT Ton-Mile Driver Time'!$G54*'Emissions - Rail'!$D$3/1000000)</f>
        <v>0</v>
      </c>
      <c r="E11" s="203">
        <f>((('VMT Ton-Mile Driver Time'!$C11*'Emissions - Truck'!AL14)+('VMT Ton-Mile Driver Time'!$D11*'Emissions - Truck'!BV14)+('VMT Ton-Mile Driver Time'!$E11*'Emissions - Truck'!BM14))/1000000)+('VMT Ton-Mile Driver Time'!$G54*'Emissions - Rail'!$E$3/1000000)</f>
        <v>0</v>
      </c>
      <c r="F11" s="43">
        <f>((('VMT Ton-Mile Driver Time'!$C11*'Emissions - Truck'!AM14)+('VMT Ton-Mile Driver Time'!$D11*'Emissions - Truck'!BW14)+('VMT Ton-Mile Driver Time'!$E11*'Emissions - Truck'!BN14))/1000000)</f>
        <v>0</v>
      </c>
      <c r="G11" s="203">
        <f>((('VMT Ton-Mile Driver Time'!$C11*'Emissions - Truck'!AN14)+('VMT Ton-Mile Driver Time'!$D11*'Emissions - Truck'!BX14)+('VMT Ton-Mile Driver Time'!$E11*'Emissions - Truck'!BO14))/1000000)</f>
        <v>0</v>
      </c>
      <c r="H11" s="44">
        <f>C11*'Monetized Values and Factors'!N51</f>
        <v>0</v>
      </c>
      <c r="I11" s="44">
        <f>D11*'Monetized Values and Factors'!$O$34</f>
        <v>0</v>
      </c>
      <c r="J11" s="44">
        <f>E11*'Monetized Values and Factors'!$O$35</f>
        <v>0</v>
      </c>
      <c r="K11" s="44">
        <f>F11*'Monetized Values and Factors'!$O$36</f>
        <v>0</v>
      </c>
      <c r="L11" s="45">
        <f>G11*'Monetized Values and Factors'!$O$33</f>
        <v>0</v>
      </c>
    </row>
    <row r="12" spans="1:12" x14ac:dyDescent="0.25">
      <c r="A12" s="39">
        <v>2022</v>
      </c>
      <c r="B12" s="4">
        <f>('VMT Ton-Mile Driver Time'!G12/'Monetized Values and Factors'!M$24)+('VMT Ton-Mile Driver Time'!G55/'Monetized Values and Factors'!$M$25)</f>
        <v>795892.54090909101</v>
      </c>
      <c r="C12" s="203">
        <f>((('VMT Ton-Mile Driver Time'!$C12*'Emissions - Truck'!AJ15)+('VMT Ton-Mile Driver Time'!$D12*'Emissions - Truck'!BT15)+('VMT Ton-Mile Driver Time'!$E12*'Emissions - Truck'!BK15))/1000000)+('VMT Ton-Mile Driver Time'!$G55*'Emissions - Rail'!$C$3/1000000)</f>
        <v>3762.658675199606</v>
      </c>
      <c r="D12" s="203">
        <f>((('VMT Ton-Mile Driver Time'!$C12*'Emissions - Truck'!AK15)+('VMT Ton-Mile Driver Time'!$D12*'Emissions - Truck'!BU15)+('VMT Ton-Mile Driver Time'!$E12*'Emissions - Truck'!BL15))/1000000)+('VMT Ton-Mile Driver Time'!$G55*'Emissions - Rail'!$D$3/1000000)</f>
        <v>36.016535465770808</v>
      </c>
      <c r="E12" s="203">
        <f>((('VMT Ton-Mile Driver Time'!$C12*'Emissions - Truck'!AL15)+('VMT Ton-Mile Driver Time'!$D12*'Emissions - Truck'!BV15)+('VMT Ton-Mile Driver Time'!$E12*'Emissions - Truck'!BM15))/1000000)+('VMT Ton-Mile Driver Time'!$G55*'Emissions - Rail'!$E$3/1000000)</f>
        <v>0.97394142512928494</v>
      </c>
      <c r="F12" s="43">
        <f>((('VMT Ton-Mile Driver Time'!$C12*'Emissions - Truck'!AM15)+('VMT Ton-Mile Driver Time'!$D12*'Emissions - Truck'!BW15)+('VMT Ton-Mile Driver Time'!$E12*'Emissions - Truck'!BN15))/1000000)</f>
        <v>2.0736396728687184E-2</v>
      </c>
      <c r="G12" s="203">
        <f>((('VMT Ton-Mile Driver Time'!$C12*'Emissions - Truck'!AN15)+('VMT Ton-Mile Driver Time'!$D12*'Emissions - Truck'!BX15)+('VMT Ton-Mile Driver Time'!$E12*'Emissions - Truck'!BO15))/1000000)</f>
        <v>0.12680947576357304</v>
      </c>
      <c r="H12" s="44">
        <f>C12*'Monetized Values and Factors'!N52</f>
        <v>0</v>
      </c>
      <c r="I12" s="44">
        <f>D12*'Monetized Values and Factors'!$O$34</f>
        <v>297858.98132712347</v>
      </c>
      <c r="J12" s="44">
        <f>E12*'Monetized Values and Factors'!$O$35</f>
        <v>368443.36860857089</v>
      </c>
      <c r="K12" s="44">
        <f>F12*'Monetized Values and Factors'!$O$36</f>
        <v>1013.529949444303</v>
      </c>
      <c r="L12" s="45">
        <f>G12*'Monetized Values and Factors'!$O$33</f>
        <v>266.0916145395617</v>
      </c>
    </row>
    <row r="13" spans="1:12" x14ac:dyDescent="0.25">
      <c r="A13" s="39">
        <v>2023</v>
      </c>
      <c r="B13" s="4">
        <f>('VMT Ton-Mile Driver Time'!G13/'Monetized Values and Factors'!M$24)+('VMT Ton-Mile Driver Time'!G56/'Monetized Values and Factors'!$M$25)</f>
        <v>1591785.081818182</v>
      </c>
      <c r="C13" s="203">
        <f>((('VMT Ton-Mile Driver Time'!$C13*'Emissions - Truck'!AJ16)+('VMT Ton-Mile Driver Time'!$D13*'Emissions - Truck'!BT16)+('VMT Ton-Mile Driver Time'!$E13*'Emissions - Truck'!BK16))/1000000)+('VMT Ton-Mile Driver Time'!$G56*'Emissions - Rail'!$C$3/1000000)</f>
        <v>7500.6506876228159</v>
      </c>
      <c r="D13" s="203">
        <f>((('VMT Ton-Mile Driver Time'!$C13*'Emissions - Truck'!AK16)+('VMT Ton-Mile Driver Time'!$D13*'Emissions - Truck'!BU16)+('VMT Ton-Mile Driver Time'!$E13*'Emissions - Truck'!BL16))/1000000)+('VMT Ton-Mile Driver Time'!$G56*'Emissions - Rail'!$D$3/1000000)</f>
        <v>71.480120470005147</v>
      </c>
      <c r="E13" s="203">
        <f>((('VMT Ton-Mile Driver Time'!$C13*'Emissions - Truck'!AL16)+('VMT Ton-Mile Driver Time'!$D13*'Emissions - Truck'!BV16)+('VMT Ton-Mile Driver Time'!$E13*'Emissions - Truck'!BM16))/1000000)+('VMT Ton-Mile Driver Time'!$G56*'Emissions - Rail'!$E$3/1000000)</f>
        <v>1.9407414957110538</v>
      </c>
      <c r="F13" s="43">
        <f>((('VMT Ton-Mile Driver Time'!$C13*'Emissions - Truck'!AM16)+('VMT Ton-Mile Driver Time'!$D13*'Emissions - Truck'!BW16)+('VMT Ton-Mile Driver Time'!$E13*'Emissions - Truck'!BN16))/1000000)</f>
        <v>4.1209460869960031E-2</v>
      </c>
      <c r="G13" s="203">
        <f>((('VMT Ton-Mile Driver Time'!$C13*'Emissions - Truck'!AN16)+('VMT Ton-Mile Driver Time'!$D13*'Emissions - Truck'!BX16)+('VMT Ton-Mile Driver Time'!$E13*'Emissions - Truck'!BO16))/1000000)</f>
        <v>0.23400287990881904</v>
      </c>
      <c r="H13" s="44">
        <f>C13*'Monetized Values and Factors'!N53</f>
        <v>0</v>
      </c>
      <c r="I13" s="44">
        <f>D13*'Monetized Values and Factors'!$O$34</f>
        <v>591145.02805441176</v>
      </c>
      <c r="J13" s="44">
        <f>E13*'Monetized Values and Factors'!$O$35</f>
        <v>734185.1530581502</v>
      </c>
      <c r="K13" s="44">
        <f>F13*'Monetized Values and Factors'!$O$36</f>
        <v>2014.1890290117842</v>
      </c>
      <c r="L13" s="45">
        <f>G13*'Monetized Values and Factors'!$O$33</f>
        <v>491.02169807826976</v>
      </c>
    </row>
    <row r="14" spans="1:12" x14ac:dyDescent="0.25">
      <c r="A14" s="39">
        <v>2024</v>
      </c>
      <c r="B14" s="4">
        <f>('VMT Ton-Mile Driver Time'!G14/'Monetized Values and Factors'!M$24)+('VMT Ton-Mile Driver Time'!G57/'Monetized Values and Factors'!$M$25)</f>
        <v>2387677.6227272726</v>
      </c>
      <c r="C14" s="203">
        <f>((('VMT Ton-Mile Driver Time'!$C14*'Emissions - Truck'!AJ17)+('VMT Ton-Mile Driver Time'!$D14*'Emissions - Truck'!BT17)+('VMT Ton-Mile Driver Time'!$E14*'Emissions - Truck'!BK17))/1000000)+('VMT Ton-Mile Driver Time'!$G57*'Emissions - Rail'!$C$3/1000000)</f>
        <v>11214.21376048172</v>
      </c>
      <c r="D14" s="203">
        <f>((('VMT Ton-Mile Driver Time'!$C14*'Emissions - Truck'!AK17)+('VMT Ton-Mile Driver Time'!$D14*'Emissions - Truck'!BU17)+('VMT Ton-Mile Driver Time'!$E14*'Emissions - Truck'!BL17))/1000000)+('VMT Ton-Mile Driver Time'!$G57*'Emissions - Rail'!$D$3/1000000)</f>
        <v>106.48075372757827</v>
      </c>
      <c r="E14" s="203">
        <f>((('VMT Ton-Mile Driver Time'!$C14*'Emissions - Truck'!AL17)+('VMT Ton-Mile Driver Time'!$D14*'Emissions - Truck'!BV17)+('VMT Ton-Mile Driver Time'!$E14*'Emissions - Truck'!BM17))/1000000)+('VMT Ton-Mile Driver Time'!$G57*'Emissions - Rail'!$E$3/1000000)</f>
        <v>2.901550473852029</v>
      </c>
      <c r="F14" s="43">
        <f>((('VMT Ton-Mile Driver Time'!$C14*'Emissions - Truck'!AM17)+('VMT Ton-Mile Driver Time'!$D14*'Emissions - Truck'!BW17)+('VMT Ton-Mile Driver Time'!$E14*'Emissions - Truck'!BN17))/1000000)</f>
        <v>6.1421982442935036E-2</v>
      </c>
      <c r="G14" s="203">
        <f>((('VMT Ton-Mile Driver Time'!$C14*'Emissions - Truck'!AN17)+('VMT Ton-Mile Driver Time'!$D14*'Emissions - Truck'!BX17)+('VMT Ton-Mile Driver Time'!$E14*'Emissions - Truck'!BO17))/1000000)</f>
        <v>0.32385677595064649</v>
      </c>
      <c r="H14" s="44">
        <f>C14*'Monetized Values and Factors'!N54</f>
        <v>0</v>
      </c>
      <c r="I14" s="44">
        <f>D14*'Monetized Values and Factors'!$O$34</f>
        <v>880602.4351338034</v>
      </c>
      <c r="J14" s="44">
        <f>E14*'Monetized Values and Factors'!$O$35</f>
        <v>1097660.4990715182</v>
      </c>
      <c r="K14" s="44">
        <f>F14*'Monetized Values and Factors'!$O$36</f>
        <v>3002.1136060748026</v>
      </c>
      <c r="L14" s="45">
        <f>G14*'Monetized Values and Factors'!$O$33</f>
        <v>679.56729474185875</v>
      </c>
    </row>
    <row r="15" spans="1:12" x14ac:dyDescent="0.25">
      <c r="A15" s="39">
        <v>2025</v>
      </c>
      <c r="B15" s="4">
        <f>('VMT Ton-Mile Driver Time'!G15/'Monetized Values and Factors'!M$24)+('VMT Ton-Mile Driver Time'!G58/'Monetized Values and Factors'!$M$25)</f>
        <v>3183570.163636364</v>
      </c>
      <c r="C15" s="203">
        <f>((('VMT Ton-Mile Driver Time'!$C15*'Emissions - Truck'!AJ18)+('VMT Ton-Mile Driver Time'!$D15*'Emissions - Truck'!BT18)+('VMT Ton-Mile Driver Time'!$E15*'Emissions - Truck'!BK18))/1000000)+('VMT Ton-Mile Driver Time'!$G58*'Emissions - Rail'!$C$3/1000000)</f>
        <v>14903.583490229825</v>
      </c>
      <c r="D15" s="203">
        <f>((('VMT Ton-Mile Driver Time'!$C15*'Emissions - Truck'!AK18)+('VMT Ton-Mile Driver Time'!$D15*'Emissions - Truck'!BU18)+('VMT Ton-Mile Driver Time'!$E15*'Emissions - Truck'!BL18))/1000000)+('VMT Ton-Mile Driver Time'!$G58*'Emissions - Rail'!$D$3/1000000)</f>
        <v>141.09541267460125</v>
      </c>
      <c r="E15" s="203">
        <f>((('VMT Ton-Mile Driver Time'!$C15*'Emissions - Truck'!AL18)+('VMT Ton-Mile Driver Time'!$D15*'Emissions - Truck'!BV18)+('VMT Ton-Mile Driver Time'!$E15*'Emissions - Truck'!BM18))/1000000)+('VMT Ton-Mile Driver Time'!$G58*'Emissions - Rail'!$E$3/1000000)</f>
        <v>3.8573532932463475</v>
      </c>
      <c r="F15" s="43">
        <f>((('VMT Ton-Mile Driver Time'!$C15*'Emissions - Truck'!AM18)+('VMT Ton-Mile Driver Time'!$D15*'Emissions - Truck'!BW18)+('VMT Ton-Mile Driver Time'!$E15*'Emissions - Truck'!BN18))/1000000)</f>
        <v>8.137672405152814E-2</v>
      </c>
      <c r="G15" s="203">
        <f>((('VMT Ton-Mile Driver Time'!$C15*'Emissions - Truck'!AN18)+('VMT Ton-Mile Driver Time'!$D15*'Emissions - Truck'!BX18)+('VMT Ton-Mile Driver Time'!$E15*'Emissions - Truck'!BO18))/1000000)</f>
        <v>0.39841279682741532</v>
      </c>
      <c r="H15" s="44">
        <f>C15*'Monetized Values and Factors'!N55</f>
        <v>0</v>
      </c>
      <c r="I15" s="44">
        <f>D15*'Monetized Values and Factors'!$O$34</f>
        <v>1166867.8107345381</v>
      </c>
      <c r="J15" s="44">
        <f>E15*'Monetized Values and Factors'!$O$35</f>
        <v>1459242.0084076317</v>
      </c>
      <c r="K15" s="44">
        <f>F15*'Monetized Values and Factors'!$O$36</f>
        <v>3977.4387080368115</v>
      </c>
      <c r="L15" s="45">
        <f>G15*'Monetized Values and Factors'!$O$33</f>
        <v>836.01248031878322</v>
      </c>
    </row>
    <row r="16" spans="1:12" x14ac:dyDescent="0.25">
      <c r="A16" s="39">
        <v>2026</v>
      </c>
      <c r="B16" s="4">
        <f>('VMT Ton-Mile Driver Time'!G16/'Monetized Values and Factors'!M$24)+('VMT Ton-Mile Driver Time'!G59/'Monetized Values and Factors'!$M$25)</f>
        <v>3979462.7045454546</v>
      </c>
      <c r="C16" s="203">
        <f>((('VMT Ton-Mile Driver Time'!$C16*'Emissions - Truck'!AJ19)+('VMT Ton-Mile Driver Time'!$D16*'Emissions - Truck'!BT19)+('VMT Ton-Mile Driver Time'!$E16*'Emissions - Truck'!BK19))/1000000)+('VMT Ton-Mile Driver Time'!$G59*'Emissions - Rail'!$C$3/1000000)</f>
        <v>18568.993364699352</v>
      </c>
      <c r="D16" s="203">
        <f>((('VMT Ton-Mile Driver Time'!$C16*'Emissions - Truck'!AK19)+('VMT Ton-Mile Driver Time'!$D16*'Emissions - Truck'!BU19)+('VMT Ton-Mile Driver Time'!$E16*'Emissions - Truck'!BL19))/1000000)+('VMT Ton-Mile Driver Time'!$G59*'Emissions - Rail'!$D$3/1000000)</f>
        <v>175.38981975804643</v>
      </c>
      <c r="E16" s="203">
        <f>((('VMT Ton-Mile Driver Time'!$C16*'Emissions - Truck'!AL19)+('VMT Ton-Mile Driver Time'!$D16*'Emissions - Truck'!BV19)+('VMT Ton-Mile Driver Time'!$E16*'Emissions - Truck'!BM19))/1000000)+('VMT Ton-Mile Driver Time'!$G59*'Emissions - Rail'!$E$3/1000000)</f>
        <v>4.8089919266071801</v>
      </c>
      <c r="F16" s="43">
        <f>((('VMT Ton-Mile Driver Time'!$C16*'Emissions - Truck'!AM19)+('VMT Ton-Mile Driver Time'!$D16*'Emissions - Truck'!BW19)+('VMT Ton-Mile Driver Time'!$E16*'Emissions - Truck'!BN19))/1000000)</f>
        <v>0.10107642114095353</v>
      </c>
      <c r="G16" s="203">
        <f>((('VMT Ton-Mile Driver Time'!$C16*'Emissions - Truck'!AN19)+('VMT Ton-Mile Driver Time'!$D16*'Emissions - Truck'!BX19)+('VMT Ton-Mile Driver Time'!$E16*'Emissions - Truck'!BO19))/1000000)</f>
        <v>0.45950038087356365</v>
      </c>
      <c r="H16" s="44">
        <f>C16*'Monetized Values and Factors'!N56</f>
        <v>0</v>
      </c>
      <c r="I16" s="44">
        <f>D16*'Monetized Values and Factors'!$O$34</f>
        <v>1450484.683567869</v>
      </c>
      <c r="J16" s="44">
        <f>E16*'Monetized Values and Factors'!$O$35</f>
        <v>1819248.2004914919</v>
      </c>
      <c r="K16" s="44">
        <f>F16*'Monetized Values and Factors'!$O$36</f>
        <v>4940.2980348692154</v>
      </c>
      <c r="L16" s="45">
        <f>G16*'Monetized Values and Factors'!$O$33</f>
        <v>964.19607045889893</v>
      </c>
    </row>
    <row r="17" spans="1:12" x14ac:dyDescent="0.25">
      <c r="A17" s="39">
        <v>2027</v>
      </c>
      <c r="B17" s="4">
        <f>('VMT Ton-Mile Driver Time'!G17/'Monetized Values and Factors'!M$24)+('VMT Ton-Mile Driver Time'!G60/'Monetized Values and Factors'!$M$25)</f>
        <v>4775355.2454545451</v>
      </c>
      <c r="C17" s="203">
        <f>((('VMT Ton-Mile Driver Time'!$C17*'Emissions - Truck'!AJ20)+('VMT Ton-Mile Driver Time'!$D17*'Emissions - Truck'!BT20)+('VMT Ton-Mile Driver Time'!$E17*'Emissions - Truck'!BK20))/1000000)+('VMT Ton-Mile Driver Time'!$G60*'Emissions - Rail'!$C$3/1000000)</f>
        <v>22210.674781088997</v>
      </c>
      <c r="D17" s="203">
        <f>((('VMT Ton-Mile Driver Time'!$C17*'Emissions - Truck'!AK20)+('VMT Ton-Mile Driver Time'!$D17*'Emissions - Truck'!BU20)+('VMT Ton-Mile Driver Time'!$E17*'Emissions - Truck'!BL20))/1000000)+('VMT Ton-Mile Driver Time'!$G60*'Emissions - Rail'!$D$3/1000000)</f>
        <v>209.41997870779934</v>
      </c>
      <c r="E17" s="203">
        <f>((('VMT Ton-Mile Driver Time'!$C17*'Emissions - Truck'!AL20)+('VMT Ton-Mile Driver Time'!$D17*'Emissions - Truck'!BV20)+('VMT Ton-Mile Driver Time'!$E17*'Emissions - Truck'!BM20))/1000000)+('VMT Ton-Mile Driver Time'!$G60*'Emissions - Rail'!$E$3/1000000)</f>
        <v>5.7571848360073252</v>
      </c>
      <c r="F17" s="43">
        <f>((('VMT Ton-Mile Driver Time'!$C17*'Emissions - Truck'!AM20)+('VMT Ton-Mile Driver Time'!$D17*'Emissions - Truck'!BW20)+('VMT Ton-Mile Driver Time'!$E17*'Emissions - Truck'!BN20))/1000000)</f>
        <v>0.12052378225190516</v>
      </c>
      <c r="G17" s="203">
        <f>((('VMT Ton-Mile Driver Time'!$C17*'Emissions - Truck'!AN20)+('VMT Ton-Mile Driver Time'!$D17*'Emissions - Truck'!BX20)+('VMT Ton-Mile Driver Time'!$E17*'Emissions - Truck'!BO20))/1000000)</f>
        <v>0.50875739478954951</v>
      </c>
      <c r="H17" s="44">
        <f>C17*'Monetized Values and Factors'!N57</f>
        <v>0</v>
      </c>
      <c r="I17" s="44">
        <f>D17*'Monetized Values and Factors'!$O$34</f>
        <v>1731916.2079521804</v>
      </c>
      <c r="J17" s="44">
        <f>E17*'Monetized Values and Factors'!$O$35</f>
        <v>2177950.8705045022</v>
      </c>
      <c r="K17" s="44">
        <f>F17*'Monetized Values and Factors'!$O$36</f>
        <v>5890.8239715349619</v>
      </c>
      <c r="L17" s="45">
        <f>G17*'Monetized Values and Factors'!$O$33</f>
        <v>1067.5548950371121</v>
      </c>
    </row>
    <row r="18" spans="1:12" x14ac:dyDescent="0.25">
      <c r="A18" s="39">
        <v>2028</v>
      </c>
      <c r="B18" s="4">
        <f>('VMT Ton-Mile Driver Time'!G18/'Monetized Values and Factors'!M$24)+('VMT Ton-Mile Driver Time'!G61/'Monetized Values and Factors'!$M$25)</f>
        <v>6367140.3272727281</v>
      </c>
      <c r="C18" s="203">
        <f>((('VMT Ton-Mile Driver Time'!$C18*'Emissions - Truck'!AJ21)+('VMT Ton-Mile Driver Time'!$D18*'Emissions - Truck'!BT21)+('VMT Ton-Mile Driver Time'!$E18*'Emissions - Truck'!BK21))/1000000)+('VMT Ton-Mile Driver Time'!$G61*'Emissions - Rail'!$C$3/1000000)</f>
        <v>29518.693787203934</v>
      </c>
      <c r="D18" s="203">
        <f>((('VMT Ton-Mile Driver Time'!$C18*'Emissions - Truck'!AK21)+('VMT Ton-Mile Driver Time'!$D18*'Emissions - Truck'!BU21)+('VMT Ton-Mile Driver Time'!$E18*'Emissions - Truck'!BL21))/1000000)+('VMT Ton-Mile Driver Time'!$G61*'Emissions - Rail'!$D$3/1000000)</f>
        <v>277.98115418827933</v>
      </c>
      <c r="E18" s="203">
        <f>((('VMT Ton-Mile Driver Time'!$C18*'Emissions - Truck'!AL21)+('VMT Ton-Mile Driver Time'!$D18*'Emissions - Truck'!BV21)+('VMT Ton-Mile Driver Time'!$E18*'Emissions - Truck'!BM21))/1000000)+('VMT Ton-Mile Driver Time'!$G61*'Emissions - Rail'!$E$3/1000000)</f>
        <v>7.6600501457813941</v>
      </c>
      <c r="F18" s="43">
        <f>((('VMT Ton-Mile Driver Time'!$C18*'Emissions - Truck'!AM21)+('VMT Ton-Mile Driver Time'!$D18*'Emissions - Truck'!BW21)+('VMT Ton-Mile Driver Time'!$E18*'Emissions - Truck'!BN21))/1000000)</f>
        <v>0.15968170202564788</v>
      </c>
      <c r="G18" s="203">
        <f>((('VMT Ton-Mile Driver Time'!$C18*'Emissions - Truck'!AN21)+('VMT Ton-Mile Driver Time'!$D18*'Emissions - Truck'!BX21)+('VMT Ton-Mile Driver Time'!$E18*'Emissions - Truck'!BO21))/1000000)</f>
        <v>0.6258843823894632</v>
      </c>
      <c r="H18" s="44">
        <f>C18*'Monetized Values and Factors'!N58</f>
        <v>0</v>
      </c>
      <c r="I18" s="44">
        <f>D18*'Monetized Values and Factors'!$O$34</f>
        <v>2298921.3799686297</v>
      </c>
      <c r="J18" s="44">
        <f>E18*'Monetized Values and Factors'!$O$35</f>
        <v>2897807.4107974498</v>
      </c>
      <c r="K18" s="44">
        <f>F18*'Monetized Values and Factors'!$O$36</f>
        <v>7804.7401146284565</v>
      </c>
      <c r="L18" s="45">
        <f>G18*'Monetized Values and Factors'!$O$33</f>
        <v>1313.3291879197982</v>
      </c>
    </row>
    <row r="19" spans="1:12" x14ac:dyDescent="0.25">
      <c r="A19" s="39">
        <v>2029</v>
      </c>
      <c r="B19" s="4">
        <f>('VMT Ton-Mile Driver Time'!G19/'Monetized Values and Factors'!M$24)+('VMT Ton-Mile Driver Time'!G62/'Monetized Values and Factors'!$M$25)</f>
        <v>7958925.4090909092</v>
      </c>
      <c r="C19" s="203">
        <f>((('VMT Ton-Mile Driver Time'!$C19*'Emissions - Truck'!AJ22)+('VMT Ton-Mile Driver Time'!$D19*'Emissions - Truck'!BT22)+('VMT Ton-Mile Driver Time'!$E19*'Emissions - Truck'!BK22))/1000000)+('VMT Ton-Mile Driver Time'!$G62*'Emissions - Rail'!$C$3/1000000)</f>
        <v>36779.709352682155</v>
      </c>
      <c r="D19" s="203">
        <f>((('VMT Ton-Mile Driver Time'!$C19*'Emissions - Truck'!AK22)+('VMT Ton-Mile Driver Time'!$D19*'Emissions - Truck'!BU22)+('VMT Ton-Mile Driver Time'!$E19*'Emissions - Truck'!BL22))/1000000)+('VMT Ton-Mile Driver Time'!$G62*'Emissions - Rail'!$D$3/1000000)</f>
        <v>346.08851303263299</v>
      </c>
      <c r="E19" s="203">
        <f>((('VMT Ton-Mile Driver Time'!$C19*'Emissions - Truck'!AL22)+('VMT Ton-Mile Driver Time'!$D19*'Emissions - Truck'!BV22)+('VMT Ton-Mile Driver Time'!$E19*'Emissions - Truck'!BM22))/1000000)+('VMT Ton-Mile Driver Time'!$G62*'Emissions - Rail'!$E$3/1000000)</f>
        <v>9.5569862316685956</v>
      </c>
      <c r="F19" s="43">
        <f>((('VMT Ton-Mile Driver Time'!$C19*'Emissions - Truck'!AM22)+('VMT Ton-Mile Driver Time'!$D19*'Emissions - Truck'!BW22)+('VMT Ton-Mile Driver Time'!$E19*'Emissions - Truck'!BN22))/1000000)</f>
        <v>0.19834024710949502</v>
      </c>
      <c r="G19" s="203">
        <f>((('VMT Ton-Mile Driver Time'!$C19*'Emissions - Truck'!AN22)+('VMT Ton-Mile Driver Time'!$D19*'Emissions - Truck'!BX22)+('VMT Ton-Mile Driver Time'!$E19*'Emissions - Truck'!BO22))/1000000)</f>
        <v>0.7218547232530288</v>
      </c>
      <c r="H19" s="44">
        <f>C19*'Monetized Values and Factors'!N59</f>
        <v>0</v>
      </c>
      <c r="I19" s="44">
        <f>D19*'Monetized Values and Factors'!$O$34</f>
        <v>2862173.460267683</v>
      </c>
      <c r="J19" s="44">
        <f>E19*'Monetized Values and Factors'!$O$35</f>
        <v>3615420.9176124632</v>
      </c>
      <c r="K19" s="44">
        <f>F19*'Monetized Values and Factors'!$O$36</f>
        <v>9694.2483911660693</v>
      </c>
      <c r="L19" s="45">
        <f>G19*'Monetized Values and Factors'!$O$33</f>
        <v>1514.7092724484173</v>
      </c>
    </row>
    <row r="20" spans="1:12" x14ac:dyDescent="0.25">
      <c r="A20" s="39">
        <v>2030</v>
      </c>
      <c r="B20" s="4">
        <f>('VMT Ton-Mile Driver Time'!G20/'Monetized Values and Factors'!M$24)+('VMT Ton-Mile Driver Time'!G63/'Monetized Values and Factors'!$M$25)</f>
        <v>9550710.4909090903</v>
      </c>
      <c r="C20" s="203">
        <f>((('VMT Ton-Mile Driver Time'!$C20*'Emissions - Truck'!AJ23)+('VMT Ton-Mile Driver Time'!$D20*'Emissions - Truck'!BT23)+('VMT Ton-Mile Driver Time'!$E20*'Emissions - Truck'!BK23))/1000000)+('VMT Ton-Mile Driver Time'!$G63*'Emissions - Rail'!$C$3/1000000)</f>
        <v>43994.175023818229</v>
      </c>
      <c r="D20" s="203">
        <f>((('VMT Ton-Mile Driver Time'!$C20*'Emissions - Truck'!AK23)+('VMT Ton-Mile Driver Time'!$D20*'Emissions - Truck'!BU23)+('VMT Ton-Mile Driver Time'!$E20*'Emissions - Truck'!BL23))/1000000)+('VMT Ton-Mile Driver Time'!$G63*'Emissions - Rail'!$D$3/1000000)</f>
        <v>413.82141453062894</v>
      </c>
      <c r="E20" s="203">
        <f>((('VMT Ton-Mile Driver Time'!$C20*'Emissions - Truck'!AL23)+('VMT Ton-Mile Driver Time'!$D20*'Emissions - Truck'!BV23)+('VMT Ton-Mile Driver Time'!$E20*'Emissions - Truck'!BM23))/1000000)+('VMT Ton-Mile Driver Time'!$G63*'Emissions - Rail'!$E$3/1000000)</f>
        <v>11.449014558234182</v>
      </c>
      <c r="F20" s="43">
        <f>((('VMT Ton-Mile Driver Time'!$C20*'Emissions - Truck'!AM23)+('VMT Ton-Mile Driver Time'!$D20*'Emissions - Truck'!BW23)+('VMT Ton-Mile Driver Time'!$E20*'Emissions - Truck'!BN23))/1000000)</f>
        <v>0.23650471576896709</v>
      </c>
      <c r="G20" s="203">
        <f>((('VMT Ton-Mile Driver Time'!$C20*'Emissions - Truck'!AN23)+('VMT Ton-Mile Driver Time'!$D20*'Emissions - Truck'!BX23)+('VMT Ton-Mile Driver Time'!$E20*'Emissions - Truck'!BO23))/1000000)</f>
        <v>0.79924100150315003</v>
      </c>
      <c r="H20" s="44">
        <f>C20*'Monetized Values and Factors'!N60</f>
        <v>0</v>
      </c>
      <c r="I20" s="44">
        <f>D20*'Monetized Values and Factors'!$O$34</f>
        <v>3422328.755096002</v>
      </c>
      <c r="J20" s="44">
        <f>E20*'Monetized Values and Factors'!$O$35</f>
        <v>4331177.8123868331</v>
      </c>
      <c r="K20" s="44">
        <f>F20*'Monetized Values and Factors'!$O$36</f>
        <v>11559.607763727239</v>
      </c>
      <c r="L20" s="45">
        <f>G20*'Monetized Values and Factors'!$O$33</f>
        <v>1677.0933498116462</v>
      </c>
    </row>
    <row r="21" spans="1:12" x14ac:dyDescent="0.25">
      <c r="A21" s="39">
        <v>2031</v>
      </c>
      <c r="B21" s="4">
        <f>('VMT Ton-Mile Driver Time'!G21/'Monetized Values and Factors'!M$24)+('VMT Ton-Mile Driver Time'!G64/'Monetized Values and Factors'!$M$25)</f>
        <v>11620031.097272726</v>
      </c>
      <c r="C21" s="203">
        <f>((('VMT Ton-Mile Driver Time'!$C21*'Emissions - Truck'!AJ24)+('VMT Ton-Mile Driver Time'!$D21*'Emissions - Truck'!BT24)+('VMT Ton-Mile Driver Time'!$E21*'Emissions - Truck'!BK24))/1000000)+('VMT Ton-Mile Driver Time'!$G64*'Emissions - Rail'!$C$3/1000000)</f>
        <v>53355.220583525384</v>
      </c>
      <c r="D21" s="203">
        <f>((('VMT Ton-Mile Driver Time'!$C21*'Emissions - Truck'!AK24)+('VMT Ton-Mile Driver Time'!$D21*'Emissions - Truck'!BU24)+('VMT Ton-Mile Driver Time'!$E21*'Emissions - Truck'!BL24))/1000000)+('VMT Ton-Mile Driver Time'!$G64*'Emissions - Rail'!$D$3/1000000)</f>
        <v>501.87222462980071</v>
      </c>
      <c r="E21" s="203">
        <f>((('VMT Ton-Mile Driver Time'!$C21*'Emissions - Truck'!AL24)+('VMT Ton-Mile Driver Time'!$D21*'Emissions - Truck'!BV24)+('VMT Ton-Mile Driver Time'!$E21*'Emissions - Truck'!BM24))/1000000)+('VMT Ton-Mile Driver Time'!$G64*'Emissions - Rail'!$E$3/1000000)</f>
        <v>13.908591189102095</v>
      </c>
      <c r="F21" s="43">
        <f>((('VMT Ton-Mile Driver Time'!$C21*'Emissions - Truck'!AM24)+('VMT Ton-Mile Driver Time'!$D21*'Emissions - Truck'!BW24)+('VMT Ton-Mile Driver Time'!$E21*'Emissions - Truck'!BN24))/1000000)</f>
        <v>0.28593094075859815</v>
      </c>
      <c r="G21" s="203">
        <f>((('VMT Ton-Mile Driver Time'!$C21*'Emissions - Truck'!AN24)+('VMT Ton-Mile Driver Time'!$D21*'Emissions - Truck'!BX24)+('VMT Ton-Mile Driver Time'!$E21*'Emissions - Truck'!BO24))/1000000)</f>
        <v>0.89721619633158911</v>
      </c>
      <c r="H21" s="44">
        <f>C21*'Monetized Values and Factors'!N61</f>
        <v>0</v>
      </c>
      <c r="I21" s="44">
        <f>D21*'Monetized Values and Factors'!$O$34</f>
        <v>4150514.413766379</v>
      </c>
      <c r="J21" s="44">
        <f>E21*'Monetized Values and Factors'!$O$35</f>
        <v>5261639.0042471131</v>
      </c>
      <c r="K21" s="44">
        <f>F21*'Monetized Values and Factors'!$O$36</f>
        <v>13975.406418160825</v>
      </c>
      <c r="L21" s="45">
        <f>G21*'Monetized Values and Factors'!$O$33</f>
        <v>1882.6803346938625</v>
      </c>
    </row>
    <row r="22" spans="1:12" x14ac:dyDescent="0.25">
      <c r="A22" s="39">
        <v>2032</v>
      </c>
      <c r="B22" s="4">
        <f>('VMT Ton-Mile Driver Time'!G22/'Monetized Values and Factors'!M$24)+('VMT Ton-Mile Driver Time'!G65/'Monetized Values and Factors'!$M$25)</f>
        <v>11620031.097272726</v>
      </c>
      <c r="C22" s="203">
        <f>((('VMT Ton-Mile Driver Time'!$C22*'Emissions - Truck'!AJ25)+('VMT Ton-Mile Driver Time'!$D22*'Emissions - Truck'!BT25)+('VMT Ton-Mile Driver Time'!$E22*'Emissions - Truck'!BK25))/1000000)+('VMT Ton-Mile Driver Time'!$G65*'Emissions - Rail'!$C$3/1000000)</f>
        <v>53185.291169060511</v>
      </c>
      <c r="D22" s="203">
        <f>((('VMT Ton-Mile Driver Time'!$C22*'Emissions - Truck'!AK25)+('VMT Ton-Mile Driver Time'!$D22*'Emissions - Truck'!BU25)+('VMT Ton-Mile Driver Time'!$E22*'Emissions - Truck'!BL25))/1000000)+('VMT Ton-Mile Driver Time'!$G65*'Emissions - Rail'!$D$3/1000000)</f>
        <v>500.43647104805524</v>
      </c>
      <c r="E22" s="203">
        <f>((('VMT Ton-Mile Driver Time'!$C22*'Emissions - Truck'!AL25)+('VMT Ton-Mile Driver Time'!$D22*'Emissions - Truck'!BV25)+('VMT Ton-Mile Driver Time'!$E22*'Emissions - Truck'!BM25))/1000000)+('VMT Ton-Mile Driver Time'!$G65*'Emissions - Rail'!$E$3/1000000)</f>
        <v>13.889799337926647</v>
      </c>
      <c r="F22" s="43">
        <f>((('VMT Ton-Mile Driver Time'!$C22*'Emissions - Truck'!AM25)+('VMT Ton-Mile Driver Time'!$D22*'Emissions - Truck'!BW25)+('VMT Ton-Mile Driver Time'!$E22*'Emissions - Truck'!BN25))/1000000)</f>
        <v>0.28412727555935569</v>
      </c>
      <c r="G22" s="203">
        <f>((('VMT Ton-Mile Driver Time'!$C22*'Emissions - Truck'!AN25)+('VMT Ton-Mile Driver Time'!$D22*'Emissions - Truck'!BX25)+('VMT Ton-Mile Driver Time'!$E22*'Emissions - Truck'!BO25))/1000000)</f>
        <v>0.82783899189616172</v>
      </c>
      <c r="H22" s="44">
        <f>C22*'Monetized Values and Factors'!N62</f>
        <v>0</v>
      </c>
      <c r="I22" s="44">
        <f>D22*'Monetized Values and Factors'!$O$34</f>
        <v>4138640.6426286218</v>
      </c>
      <c r="J22" s="44">
        <f>E22*'Monetized Values and Factors'!$O$35</f>
        <v>5254530.0213341471</v>
      </c>
      <c r="K22" s="44">
        <f>F22*'Monetized Values and Factors'!$O$36</f>
        <v>13887.248927632412</v>
      </c>
      <c r="L22" s="45">
        <f>G22*'Monetized Values and Factors'!$O$33</f>
        <v>1737.1021574377503</v>
      </c>
    </row>
    <row r="23" spans="1:12" x14ac:dyDescent="0.25">
      <c r="A23" s="39">
        <v>2033</v>
      </c>
      <c r="B23" s="4">
        <f>('VMT Ton-Mile Driver Time'!G23/'Monetized Values and Factors'!M$24)+('VMT Ton-Mile Driver Time'!G66/'Monetized Values and Factors'!$M$25)</f>
        <v>11620031.097272726</v>
      </c>
      <c r="C23" s="203">
        <f>((('VMT Ton-Mile Driver Time'!$C23*'Emissions - Truck'!AJ26)+('VMT Ton-Mile Driver Time'!$D23*'Emissions - Truck'!BT26)+('VMT Ton-Mile Driver Time'!$E23*'Emissions - Truck'!BK26))/1000000)+('VMT Ton-Mile Driver Time'!$G66*'Emissions - Rail'!$C$3/1000000)</f>
        <v>53016.450686555545</v>
      </c>
      <c r="D23" s="203">
        <f>((('VMT Ton-Mile Driver Time'!$C23*'Emissions - Truck'!AK26)+('VMT Ton-Mile Driver Time'!$D23*'Emissions - Truck'!BU26)+('VMT Ton-Mile Driver Time'!$E23*'Emissions - Truck'!BL26))/1000000)+('VMT Ton-Mile Driver Time'!$G66*'Emissions - Rail'!$D$3/1000000)</f>
        <v>499.15649937846194</v>
      </c>
      <c r="E23" s="203">
        <f>((('VMT Ton-Mile Driver Time'!$C23*'Emissions - Truck'!AL26)+('VMT Ton-Mile Driver Time'!$D23*'Emissions - Truck'!BV26)+('VMT Ton-Mile Driver Time'!$E23*'Emissions - Truck'!BM26))/1000000)+('VMT Ton-Mile Driver Time'!$G66*'Emissions - Rail'!$E$3/1000000)</f>
        <v>13.873017063711854</v>
      </c>
      <c r="F23" s="43">
        <f>((('VMT Ton-Mile Driver Time'!$C23*'Emissions - Truck'!AM26)+('VMT Ton-Mile Driver Time'!$D23*'Emissions - Truck'!BW26)+('VMT Ton-Mile Driver Time'!$E23*'Emissions - Truck'!BN26))/1000000)</f>
        <v>0.28233631435866852</v>
      </c>
      <c r="G23" s="203">
        <f>((('VMT Ton-Mile Driver Time'!$C23*'Emissions - Truck'!AN26)+('VMT Ton-Mile Driver Time'!$D23*'Emissions - Truck'!BX26)+('VMT Ton-Mile Driver Time'!$E23*'Emissions - Truck'!BO26))/1000000)</f>
        <v>0.76382819637981314</v>
      </c>
      <c r="H23" s="44">
        <f>C23*'Monetized Values and Factors'!N63</f>
        <v>0</v>
      </c>
      <c r="I23" s="44">
        <f>D23*'Monetized Values and Factors'!$O$34</f>
        <v>4128055.1975628417</v>
      </c>
      <c r="J23" s="44">
        <f>E23*'Monetized Values and Factors'!$O$35</f>
        <v>5248181.2641244521</v>
      </c>
      <c r="K23" s="44">
        <f>F23*'Monetized Values and Factors'!$O$36</f>
        <v>13799.712368656474</v>
      </c>
      <c r="L23" s="45">
        <f>G23*'Monetized Values and Factors'!$O$33</f>
        <v>1602.7846245850537</v>
      </c>
    </row>
    <row r="24" spans="1:12" x14ac:dyDescent="0.25">
      <c r="A24" s="39">
        <v>2034</v>
      </c>
      <c r="B24" s="4">
        <f>('VMT Ton-Mile Driver Time'!G24/'Monetized Values and Factors'!M$24)+('VMT Ton-Mile Driver Time'!G67/'Monetized Values and Factors'!$M$25)</f>
        <v>11620031.097272726</v>
      </c>
      <c r="C24" s="203">
        <f>((('VMT Ton-Mile Driver Time'!$C24*'Emissions - Truck'!AJ27)+('VMT Ton-Mile Driver Time'!$D24*'Emissions - Truck'!BT27)+('VMT Ton-Mile Driver Time'!$E24*'Emissions - Truck'!BK27))/1000000)+('VMT Ton-Mile Driver Time'!$G67*'Emissions - Rail'!$C$3/1000000)</f>
        <v>52848.691837101665</v>
      </c>
      <c r="D24" s="203">
        <f>((('VMT Ton-Mile Driver Time'!$C24*'Emissions - Truck'!AK27)+('VMT Ton-Mile Driver Time'!$D24*'Emissions - Truck'!BU27)+('VMT Ton-Mile Driver Time'!$E24*'Emissions - Truck'!BL27))/1000000)+('VMT Ton-Mile Driver Time'!$G67*'Emissions - Rail'!$D$3/1000000)</f>
        <v>498.01540622298239</v>
      </c>
      <c r="E24" s="203">
        <f>((('VMT Ton-Mile Driver Time'!$C24*'Emissions - Truck'!AL27)+('VMT Ton-Mile Driver Time'!$D24*'Emissions - Truck'!BV27)+('VMT Ton-Mile Driver Time'!$E24*'Emissions - Truck'!BM27))/1000000)+('VMT Ton-Mile Driver Time'!$G67*'Emissions - Rail'!$E$3/1000000)</f>
        <v>13.858028667418267</v>
      </c>
      <c r="F24" s="43">
        <f>((('VMT Ton-Mile Driver Time'!$C24*'Emissions - Truck'!AM27)+('VMT Ton-Mile Driver Time'!$D24*'Emissions - Truck'!BW27)+('VMT Ton-Mile Driver Time'!$E24*'Emissions - Truck'!BN27))/1000000)</f>
        <v>0.28055796363240065</v>
      </c>
      <c r="G24" s="203">
        <f>((('VMT Ton-Mile Driver Time'!$C24*'Emissions - Truck'!AN27)+('VMT Ton-Mile Driver Time'!$D24*'Emissions - Truck'!BX27)+('VMT Ton-Mile Driver Time'!$E24*'Emissions - Truck'!BO27))/1000000)</f>
        <v>0.70476857238127077</v>
      </c>
      <c r="H24" s="44">
        <f>C24*'Monetized Values and Factors'!N64</f>
        <v>0</v>
      </c>
      <c r="I24" s="44">
        <f>D24*'Monetized Values and Factors'!$O$34</f>
        <v>4118618.2864192501</v>
      </c>
      <c r="J24" s="44">
        <f>E24*'Monetized Values and Factors'!$O$35</f>
        <v>5242511.133377404</v>
      </c>
      <c r="K24" s="44">
        <f>F24*'Monetized Values and Factors'!$O$36</f>
        <v>13712.792170066956</v>
      </c>
      <c r="L24" s="45">
        <f>G24*'Monetized Values and Factors'!$O$33</f>
        <v>1478.8564196205325</v>
      </c>
    </row>
    <row r="25" spans="1:12" x14ac:dyDescent="0.25">
      <c r="A25" s="39">
        <v>2035</v>
      </c>
      <c r="B25" s="4">
        <f>('VMT Ton-Mile Driver Time'!G25/'Monetized Values and Factors'!M$24)+('VMT Ton-Mile Driver Time'!G68/'Monetized Values and Factors'!$M$25)</f>
        <v>11620031.097272726</v>
      </c>
      <c r="C25" s="203">
        <f>((('VMT Ton-Mile Driver Time'!$C25*'Emissions - Truck'!AJ28)+('VMT Ton-Mile Driver Time'!$D25*'Emissions - Truck'!BT28)+('VMT Ton-Mile Driver Time'!$E25*'Emissions - Truck'!BK28))/1000000)+('VMT Ton-Mile Driver Time'!$G68*'Emissions - Rail'!$C$3/1000000)</f>
        <v>52682.007371565633</v>
      </c>
      <c r="D25" s="203">
        <f>((('VMT Ton-Mile Driver Time'!$C25*'Emissions - Truck'!AK28)+('VMT Ton-Mile Driver Time'!$D25*'Emissions - Truck'!BU28)+('VMT Ton-Mile Driver Time'!$E25*'Emissions - Truck'!BL28))/1000000)+('VMT Ton-Mile Driver Time'!$G68*'Emissions - Rail'!$D$3/1000000)</f>
        <v>496.99812240086561</v>
      </c>
      <c r="E25" s="203">
        <f>((('VMT Ton-Mile Driver Time'!$C25*'Emissions - Truck'!AL28)+('VMT Ton-Mile Driver Time'!$D25*'Emissions - Truck'!BV28)+('VMT Ton-Mile Driver Time'!$E25*'Emissions - Truck'!BM28))/1000000)+('VMT Ton-Mile Driver Time'!$G68*'Emissions - Rail'!$E$3/1000000)</f>
        <v>13.844641691900339</v>
      </c>
      <c r="F25" s="43">
        <f>((('VMT Ton-Mile Driver Time'!$C25*'Emissions - Truck'!AM28)+('VMT Ton-Mile Driver Time'!$D25*'Emissions - Truck'!BW28)+('VMT Ton-Mile Driver Time'!$E25*'Emissions - Truck'!BN28))/1000000)</f>
        <v>0.27879213055615359</v>
      </c>
      <c r="G25" s="203">
        <f>((('VMT Ton-Mile Driver Time'!$C25*'Emissions - Truck'!AN28)+('VMT Ton-Mile Driver Time'!$D25*'Emissions - Truck'!BX28)+('VMT Ton-Mile Driver Time'!$E25*'Emissions - Truck'!BO28))/1000000)</f>
        <v>0.65027702304999302</v>
      </c>
      <c r="H25" s="44">
        <f>C25*'Monetized Values and Factors'!N65</f>
        <v>0</v>
      </c>
      <c r="I25" s="44">
        <f>D25*'Monetized Values and Factors'!$O$34</f>
        <v>4110205.2861387474</v>
      </c>
      <c r="J25" s="44">
        <f>E25*'Monetized Values and Factors'!$O$35</f>
        <v>5237446.8222925235</v>
      </c>
      <c r="K25" s="44">
        <f>F25*'Monetized Values and Factors'!$O$36</f>
        <v>13626.483794898775</v>
      </c>
      <c r="L25" s="45">
        <f>G25*'Monetized Values and Factors'!$O$33</f>
        <v>1364.5136683946257</v>
      </c>
    </row>
    <row r="26" spans="1:12" x14ac:dyDescent="0.25">
      <c r="A26" s="39">
        <v>2036</v>
      </c>
      <c r="B26" s="4">
        <f>('VMT Ton-Mile Driver Time'!G26/'Monetized Values and Factors'!M$24)+('VMT Ton-Mile Driver Time'!G69/'Monetized Values and Factors'!$M$25)</f>
        <v>11620031.097272726</v>
      </c>
      <c r="C26" s="203">
        <f>((('VMT Ton-Mile Driver Time'!$C26*'Emissions - Truck'!AJ29)+('VMT Ton-Mile Driver Time'!$D26*'Emissions - Truck'!BT29)+('VMT Ton-Mile Driver Time'!$E26*'Emissions - Truck'!BK29))/1000000)+('VMT Ton-Mile Driver Time'!$G69*'Emissions - Rail'!$C$3/1000000)</f>
        <v>52516.390090247995</v>
      </c>
      <c r="D26" s="203">
        <f>((('VMT Ton-Mile Driver Time'!$C26*'Emissions - Truck'!AK29)+('VMT Ton-Mile Driver Time'!$D26*'Emissions - Truck'!BU29)+('VMT Ton-Mile Driver Time'!$E26*'Emissions - Truck'!BL29))/1000000)+('VMT Ton-Mile Driver Time'!$G69*'Emissions - Rail'!$D$3/1000000)</f>
        <v>496.09121390549984</v>
      </c>
      <c r="E26" s="203">
        <f>((('VMT Ton-Mile Driver Time'!$C26*'Emissions - Truck'!AL29)+('VMT Ton-Mile Driver Time'!$D26*'Emissions - Truck'!BV29)+('VMT Ton-Mile Driver Time'!$E26*'Emissions - Truck'!BM29))/1000000)+('VMT Ton-Mile Driver Time'!$G69*'Emissions - Rail'!$E$3/1000000)</f>
        <v>13.832684407499997</v>
      </c>
      <c r="F26" s="43">
        <f>((('VMT Ton-Mile Driver Time'!$C26*'Emissions - Truck'!AM29)+('VMT Ton-Mile Driver Time'!$D26*'Emissions - Truck'!BW29)+('VMT Ton-Mile Driver Time'!$E26*'Emissions - Truck'!BN29))/1000000)</f>
        <v>0.27703872299999999</v>
      </c>
      <c r="G26" s="203">
        <f>((('VMT Ton-Mile Driver Time'!$C26*'Emissions - Truck'!AN29)+('VMT Ton-Mile Driver Time'!$D26*'Emissions - Truck'!BX29)+('VMT Ton-Mile Driver Time'!$E26*'Emissions - Truck'!BO29))/1000000)</f>
        <v>0.60000010349999999</v>
      </c>
      <c r="H26" s="44">
        <f>C26*'Monetized Values and Factors'!N66</f>
        <v>0</v>
      </c>
      <c r="I26" s="44">
        <f>D26*'Monetized Values and Factors'!$O$34</f>
        <v>4102705.096653746</v>
      </c>
      <c r="J26" s="44">
        <f>E26*'Monetized Values and Factors'!$O$35</f>
        <v>5232923.3653060952</v>
      </c>
      <c r="K26" s="44">
        <f>F26*'Monetized Values and Factors'!$O$36</f>
        <v>13540.782740130417</v>
      </c>
      <c r="L26" s="45">
        <f>G26*'Monetized Values and Factors'!$O$33</f>
        <v>1259.0147171800013</v>
      </c>
    </row>
    <row r="27" spans="1:12" x14ac:dyDescent="0.25">
      <c r="A27" s="39">
        <v>2037</v>
      </c>
      <c r="B27" s="4">
        <f>('VMT Ton-Mile Driver Time'!G27/'Monetized Values and Factors'!M$24)+('VMT Ton-Mile Driver Time'!G70/'Monetized Values and Factors'!$M$25)</f>
        <v>11620031.097272726</v>
      </c>
      <c r="C27" s="203">
        <f>((('VMT Ton-Mile Driver Time'!$C27*'Emissions - Truck'!AJ30)+('VMT Ton-Mile Driver Time'!$D27*'Emissions - Truck'!BT30)+('VMT Ton-Mile Driver Time'!$E27*'Emissions - Truck'!BK30))/1000000)+('VMT Ton-Mile Driver Time'!$G70*'Emissions - Rail'!$C$3/1000000)</f>
        <v>52516.390090247995</v>
      </c>
      <c r="D27" s="203">
        <f>((('VMT Ton-Mile Driver Time'!$C27*'Emissions - Truck'!AK30)+('VMT Ton-Mile Driver Time'!$D27*'Emissions - Truck'!BU30)+('VMT Ton-Mile Driver Time'!$E27*'Emissions - Truck'!BL30))/1000000)+('VMT Ton-Mile Driver Time'!$G70*'Emissions - Rail'!$D$3/1000000)</f>
        <v>496.09121390549984</v>
      </c>
      <c r="E27" s="203">
        <f>((('VMT Ton-Mile Driver Time'!$C27*'Emissions - Truck'!AL30)+('VMT Ton-Mile Driver Time'!$D27*'Emissions - Truck'!BV30)+('VMT Ton-Mile Driver Time'!$E27*'Emissions - Truck'!BM30))/1000000)+('VMT Ton-Mile Driver Time'!$G70*'Emissions - Rail'!$E$3/1000000)</f>
        <v>13.832684407499997</v>
      </c>
      <c r="F27" s="43">
        <f>((('VMT Ton-Mile Driver Time'!$C27*'Emissions - Truck'!AM30)+('VMT Ton-Mile Driver Time'!$D27*'Emissions - Truck'!BW30)+('VMT Ton-Mile Driver Time'!$E27*'Emissions - Truck'!BN30))/1000000)</f>
        <v>0.27703872299999999</v>
      </c>
      <c r="G27" s="203">
        <f>((('VMT Ton-Mile Driver Time'!$C27*'Emissions - Truck'!AN30)+('VMT Ton-Mile Driver Time'!$D27*'Emissions - Truck'!BX30)+('VMT Ton-Mile Driver Time'!$E27*'Emissions - Truck'!BO30))/1000000)</f>
        <v>0.60000010349999999</v>
      </c>
      <c r="H27" s="44">
        <f>C27*'Monetized Values and Factors'!N67</f>
        <v>0</v>
      </c>
      <c r="I27" s="44">
        <f>D27*'Monetized Values and Factors'!$O$34</f>
        <v>4102705.096653746</v>
      </c>
      <c r="J27" s="44">
        <f>E27*'Monetized Values and Factors'!$O$35</f>
        <v>5232923.3653060952</v>
      </c>
      <c r="K27" s="44">
        <f>F27*'Monetized Values and Factors'!$O$36</f>
        <v>13540.782740130417</v>
      </c>
      <c r="L27" s="45">
        <f>G27*'Monetized Values and Factors'!$O$33</f>
        <v>1259.0147171800013</v>
      </c>
    </row>
    <row r="28" spans="1:12" x14ac:dyDescent="0.25">
      <c r="A28" s="39">
        <v>2038</v>
      </c>
      <c r="B28" s="4">
        <f>('VMT Ton-Mile Driver Time'!G28/'Monetized Values and Factors'!M$24)+('VMT Ton-Mile Driver Time'!G71/'Monetized Values and Factors'!$M$25)</f>
        <v>11620031.097272726</v>
      </c>
      <c r="C28" s="203">
        <f>((('VMT Ton-Mile Driver Time'!$C28*'Emissions - Truck'!AJ31)+('VMT Ton-Mile Driver Time'!$D28*'Emissions - Truck'!BT31)+('VMT Ton-Mile Driver Time'!$E28*'Emissions - Truck'!BK31))/1000000)+('VMT Ton-Mile Driver Time'!$G71*'Emissions - Rail'!$C$3/1000000)</f>
        <v>52516.390090247995</v>
      </c>
      <c r="D28" s="203">
        <f>((('VMT Ton-Mile Driver Time'!$C28*'Emissions - Truck'!AK31)+('VMT Ton-Mile Driver Time'!$D28*'Emissions - Truck'!BU31)+('VMT Ton-Mile Driver Time'!$E28*'Emissions - Truck'!BL31))/1000000)+('VMT Ton-Mile Driver Time'!$G71*'Emissions - Rail'!$D$3/1000000)</f>
        <v>496.09121390549984</v>
      </c>
      <c r="E28" s="203">
        <f>((('VMT Ton-Mile Driver Time'!$C28*'Emissions - Truck'!AL31)+('VMT Ton-Mile Driver Time'!$D28*'Emissions - Truck'!BV31)+('VMT Ton-Mile Driver Time'!$E28*'Emissions - Truck'!BM31))/1000000)+('VMT Ton-Mile Driver Time'!$G71*'Emissions - Rail'!$E$3/1000000)</f>
        <v>13.832684407499997</v>
      </c>
      <c r="F28" s="43">
        <f>((('VMT Ton-Mile Driver Time'!$C28*'Emissions - Truck'!AM31)+('VMT Ton-Mile Driver Time'!$D28*'Emissions - Truck'!BW31)+('VMT Ton-Mile Driver Time'!$E28*'Emissions - Truck'!BN31))/1000000)</f>
        <v>0.27703872299999999</v>
      </c>
      <c r="G28" s="203">
        <f>((('VMT Ton-Mile Driver Time'!$C28*'Emissions - Truck'!AN31)+('VMT Ton-Mile Driver Time'!$D28*'Emissions - Truck'!BX31)+('VMT Ton-Mile Driver Time'!$E28*'Emissions - Truck'!BO31))/1000000)</f>
        <v>0.60000010349999999</v>
      </c>
      <c r="H28" s="44">
        <f>C28*'Monetized Values and Factors'!N68</f>
        <v>0</v>
      </c>
      <c r="I28" s="44">
        <f>D28*'Monetized Values and Factors'!$O$34</f>
        <v>4102705.096653746</v>
      </c>
      <c r="J28" s="44">
        <f>E28*'Monetized Values and Factors'!$O$35</f>
        <v>5232923.3653060952</v>
      </c>
      <c r="K28" s="44">
        <f>F28*'Monetized Values and Factors'!$O$36</f>
        <v>13540.782740130417</v>
      </c>
      <c r="L28" s="45">
        <f>G28*'Monetized Values and Factors'!$O$33</f>
        <v>1259.0147171800013</v>
      </c>
    </row>
    <row r="29" spans="1:12" x14ac:dyDescent="0.25">
      <c r="A29" s="39">
        <v>2039</v>
      </c>
      <c r="B29" s="4">
        <f>('VMT Ton-Mile Driver Time'!G29/'Monetized Values and Factors'!M$24)+('VMT Ton-Mile Driver Time'!G72/'Monetized Values and Factors'!$M$25)</f>
        <v>11620031.097272726</v>
      </c>
      <c r="C29" s="203">
        <f>((('VMT Ton-Mile Driver Time'!$C29*'Emissions - Truck'!AJ32)+('VMT Ton-Mile Driver Time'!$D29*'Emissions - Truck'!BT32)+('VMT Ton-Mile Driver Time'!$E29*'Emissions - Truck'!BK32))/1000000)+('VMT Ton-Mile Driver Time'!$G72*'Emissions - Rail'!$C$3/1000000)</f>
        <v>52516.390090247995</v>
      </c>
      <c r="D29" s="203">
        <f>((('VMT Ton-Mile Driver Time'!$C29*'Emissions - Truck'!AK32)+('VMT Ton-Mile Driver Time'!$D29*'Emissions - Truck'!BU32)+('VMT Ton-Mile Driver Time'!$E29*'Emissions - Truck'!BL32))/1000000)+('VMT Ton-Mile Driver Time'!$G72*'Emissions - Rail'!$D$3/1000000)</f>
        <v>496.09121390549984</v>
      </c>
      <c r="E29" s="203">
        <f>((('VMT Ton-Mile Driver Time'!$C29*'Emissions - Truck'!AL32)+('VMT Ton-Mile Driver Time'!$D29*'Emissions - Truck'!BV32)+('VMT Ton-Mile Driver Time'!$E29*'Emissions - Truck'!BM32))/1000000)+('VMT Ton-Mile Driver Time'!$G72*'Emissions - Rail'!$E$3/1000000)</f>
        <v>13.832684407499997</v>
      </c>
      <c r="F29" s="43">
        <f>((('VMT Ton-Mile Driver Time'!$C29*'Emissions - Truck'!AM32)+('VMT Ton-Mile Driver Time'!$D29*'Emissions - Truck'!BW32)+('VMT Ton-Mile Driver Time'!$E29*'Emissions - Truck'!BN32))/1000000)</f>
        <v>0.27703872299999999</v>
      </c>
      <c r="G29" s="203">
        <f>((('VMT Ton-Mile Driver Time'!$C29*'Emissions - Truck'!AN32)+('VMT Ton-Mile Driver Time'!$D29*'Emissions - Truck'!BX32)+('VMT Ton-Mile Driver Time'!$E29*'Emissions - Truck'!BO32))/1000000)</f>
        <v>0.60000010349999999</v>
      </c>
      <c r="H29" s="44">
        <f>C29*'Monetized Values and Factors'!N69</f>
        <v>0</v>
      </c>
      <c r="I29" s="44">
        <f>D29*'Monetized Values and Factors'!$O$34</f>
        <v>4102705.096653746</v>
      </c>
      <c r="J29" s="44">
        <f>E29*'Monetized Values and Factors'!$O$35</f>
        <v>5232923.3653060952</v>
      </c>
      <c r="K29" s="44">
        <f>F29*'Monetized Values and Factors'!$O$36</f>
        <v>13540.782740130417</v>
      </c>
      <c r="L29" s="45">
        <f>G29*'Monetized Values and Factors'!$O$33</f>
        <v>1259.0147171800013</v>
      </c>
    </row>
    <row r="30" spans="1:12" x14ac:dyDescent="0.25">
      <c r="A30" s="39">
        <v>2040</v>
      </c>
      <c r="B30" s="4">
        <f>('VMT Ton-Mile Driver Time'!G30/'Monetized Values and Factors'!M$24)+('VMT Ton-Mile Driver Time'!G73/'Monetized Values and Factors'!$M$25)</f>
        <v>11620031.097272726</v>
      </c>
      <c r="C30" s="203">
        <f>((('VMT Ton-Mile Driver Time'!$C30*'Emissions - Truck'!AJ33)+('VMT Ton-Mile Driver Time'!$D30*'Emissions - Truck'!BT33)+('VMT Ton-Mile Driver Time'!$E30*'Emissions - Truck'!BK33))/1000000)+('VMT Ton-Mile Driver Time'!$G73*'Emissions - Rail'!$C$3/1000000)</f>
        <v>52516.390090247995</v>
      </c>
      <c r="D30" s="203">
        <f>((('VMT Ton-Mile Driver Time'!$C30*'Emissions - Truck'!AK33)+('VMT Ton-Mile Driver Time'!$D30*'Emissions - Truck'!BU33)+('VMT Ton-Mile Driver Time'!$E30*'Emissions - Truck'!BL33))/1000000)+('VMT Ton-Mile Driver Time'!$G73*'Emissions - Rail'!$D$3/1000000)</f>
        <v>496.09121390549984</v>
      </c>
      <c r="E30" s="203">
        <f>((('VMT Ton-Mile Driver Time'!$C30*'Emissions - Truck'!AL33)+('VMT Ton-Mile Driver Time'!$D30*'Emissions - Truck'!BV33)+('VMT Ton-Mile Driver Time'!$E30*'Emissions - Truck'!BM33))/1000000)+('VMT Ton-Mile Driver Time'!$G73*'Emissions - Rail'!$E$3/1000000)</f>
        <v>13.832684407499997</v>
      </c>
      <c r="F30" s="43">
        <f>((('VMT Ton-Mile Driver Time'!$C30*'Emissions - Truck'!AM33)+('VMT Ton-Mile Driver Time'!$D30*'Emissions - Truck'!BW33)+('VMT Ton-Mile Driver Time'!$E30*'Emissions - Truck'!BN33))/1000000)</f>
        <v>0.27703872299999999</v>
      </c>
      <c r="G30" s="203">
        <f>((('VMT Ton-Mile Driver Time'!$C30*'Emissions - Truck'!AN33)+('VMT Ton-Mile Driver Time'!$D30*'Emissions - Truck'!BX33)+('VMT Ton-Mile Driver Time'!$E30*'Emissions - Truck'!BO33))/1000000)</f>
        <v>0.60000010349999999</v>
      </c>
      <c r="H30" s="44">
        <f>C30*'Monetized Values and Factors'!N70</f>
        <v>0</v>
      </c>
      <c r="I30" s="44">
        <f>D30*'Monetized Values and Factors'!$O$34</f>
        <v>4102705.096653746</v>
      </c>
      <c r="J30" s="44">
        <f>E30*'Monetized Values and Factors'!$O$35</f>
        <v>5232923.3653060952</v>
      </c>
      <c r="K30" s="44">
        <f>F30*'Monetized Values and Factors'!$O$36</f>
        <v>13540.782740130417</v>
      </c>
      <c r="L30" s="45">
        <f>G30*'Monetized Values and Factors'!$O$33</f>
        <v>1259.0147171800013</v>
      </c>
    </row>
    <row r="31" spans="1:12" x14ac:dyDescent="0.25">
      <c r="A31" s="39">
        <v>2041</v>
      </c>
      <c r="B31" s="4">
        <f>('VMT Ton-Mile Driver Time'!G31/'Monetized Values and Factors'!M$24)+('VMT Ton-Mile Driver Time'!G74/'Monetized Values and Factors'!$M$25)</f>
        <v>11620031.097272726</v>
      </c>
      <c r="C31" s="203">
        <f>((('VMT Ton-Mile Driver Time'!$C31*'Emissions - Truck'!AJ34)+('VMT Ton-Mile Driver Time'!$D31*'Emissions - Truck'!BT34)+('VMT Ton-Mile Driver Time'!$E31*'Emissions - Truck'!BK34))/1000000)+('VMT Ton-Mile Driver Time'!$G74*'Emissions - Rail'!$C$3/1000000)</f>
        <v>52516.390090247995</v>
      </c>
      <c r="D31" s="203">
        <f>((('VMT Ton-Mile Driver Time'!$C31*'Emissions - Truck'!AK34)+('VMT Ton-Mile Driver Time'!$D31*'Emissions - Truck'!BU34)+('VMT Ton-Mile Driver Time'!$E31*'Emissions - Truck'!BL34))/1000000)+('VMT Ton-Mile Driver Time'!$G74*'Emissions - Rail'!$D$3/1000000)</f>
        <v>496.09121390549984</v>
      </c>
      <c r="E31" s="203">
        <f>((('VMT Ton-Mile Driver Time'!$C31*'Emissions - Truck'!AL34)+('VMT Ton-Mile Driver Time'!$D31*'Emissions - Truck'!BV34)+('VMT Ton-Mile Driver Time'!$E31*'Emissions - Truck'!BM34))/1000000)+('VMT Ton-Mile Driver Time'!$G74*'Emissions - Rail'!$E$3/1000000)</f>
        <v>13.832684407499997</v>
      </c>
      <c r="F31" s="43">
        <f>((('VMT Ton-Mile Driver Time'!$C31*'Emissions - Truck'!AM34)+('VMT Ton-Mile Driver Time'!$D31*'Emissions - Truck'!BW34)+('VMT Ton-Mile Driver Time'!$E31*'Emissions - Truck'!BN34))/1000000)</f>
        <v>0.27703872299999999</v>
      </c>
      <c r="G31" s="203">
        <f>((('VMT Ton-Mile Driver Time'!$C31*'Emissions - Truck'!AN34)+('VMT Ton-Mile Driver Time'!$D31*'Emissions - Truck'!BX34)+('VMT Ton-Mile Driver Time'!$E31*'Emissions - Truck'!BO34))/1000000)</f>
        <v>0.60000010349999999</v>
      </c>
      <c r="H31" s="44">
        <f>C31*'Monetized Values and Factors'!N71</f>
        <v>0</v>
      </c>
      <c r="I31" s="44">
        <f>D31*'Monetized Values and Factors'!$O$34</f>
        <v>4102705.096653746</v>
      </c>
      <c r="J31" s="44">
        <f>E31*'Monetized Values and Factors'!$O$35</f>
        <v>5232923.3653060952</v>
      </c>
      <c r="K31" s="44">
        <f>F31*'Monetized Values and Factors'!$O$36</f>
        <v>13540.782740130417</v>
      </c>
      <c r="L31" s="45">
        <f>G31*'Monetized Values and Factors'!$O$33</f>
        <v>1259.0147171800013</v>
      </c>
    </row>
    <row r="32" spans="1:12" x14ac:dyDescent="0.25">
      <c r="A32" s="39">
        <v>2042</v>
      </c>
      <c r="B32" s="4">
        <f>('VMT Ton-Mile Driver Time'!G32/'Monetized Values and Factors'!M$24)+('VMT Ton-Mile Driver Time'!G75/'Monetized Values and Factors'!$M$25)</f>
        <v>11620031.097272726</v>
      </c>
      <c r="C32" s="203">
        <f>((('VMT Ton-Mile Driver Time'!$C32*'Emissions - Truck'!AJ35)+('VMT Ton-Mile Driver Time'!$D32*'Emissions - Truck'!BT35)+('VMT Ton-Mile Driver Time'!$E32*'Emissions - Truck'!BK35))/1000000)+('VMT Ton-Mile Driver Time'!$G75*'Emissions - Rail'!$C$3/1000000)</f>
        <v>52516.390090247995</v>
      </c>
      <c r="D32" s="203">
        <f>((('VMT Ton-Mile Driver Time'!$C32*'Emissions - Truck'!AK35)+('VMT Ton-Mile Driver Time'!$D32*'Emissions - Truck'!BU35)+('VMT Ton-Mile Driver Time'!$E32*'Emissions - Truck'!BL35))/1000000)+('VMT Ton-Mile Driver Time'!$G75*'Emissions - Rail'!$D$3/1000000)</f>
        <v>496.09121390549984</v>
      </c>
      <c r="E32" s="203">
        <f>((('VMT Ton-Mile Driver Time'!$C32*'Emissions - Truck'!AL35)+('VMT Ton-Mile Driver Time'!$D32*'Emissions - Truck'!BV35)+('VMT Ton-Mile Driver Time'!$E32*'Emissions - Truck'!BM35))/1000000)+('VMT Ton-Mile Driver Time'!$G75*'Emissions - Rail'!$E$3/1000000)</f>
        <v>13.832684407499997</v>
      </c>
      <c r="F32" s="43">
        <f>((('VMT Ton-Mile Driver Time'!$C32*'Emissions - Truck'!AM35)+('VMT Ton-Mile Driver Time'!$D32*'Emissions - Truck'!BW35)+('VMT Ton-Mile Driver Time'!$E32*'Emissions - Truck'!BN35))/1000000)</f>
        <v>0.27703872299999999</v>
      </c>
      <c r="G32" s="203">
        <f>((('VMT Ton-Mile Driver Time'!$C32*'Emissions - Truck'!AN35)+('VMT Ton-Mile Driver Time'!$D32*'Emissions - Truck'!BX35)+('VMT Ton-Mile Driver Time'!$E32*'Emissions - Truck'!BO35))/1000000)</f>
        <v>0.60000010349999999</v>
      </c>
      <c r="H32" s="44">
        <f>C32*'Monetized Values and Factors'!N72</f>
        <v>0</v>
      </c>
      <c r="I32" s="44">
        <f>D32*'Monetized Values and Factors'!$O$34</f>
        <v>4102705.096653746</v>
      </c>
      <c r="J32" s="44">
        <f>E32*'Monetized Values and Factors'!$O$35</f>
        <v>5232923.3653060952</v>
      </c>
      <c r="K32" s="44">
        <f>F32*'Monetized Values and Factors'!$O$36</f>
        <v>13540.782740130417</v>
      </c>
      <c r="L32" s="45">
        <f>G32*'Monetized Values and Factors'!$O$33</f>
        <v>1259.0147171800013</v>
      </c>
    </row>
    <row r="33" spans="1:12" x14ac:dyDescent="0.25">
      <c r="A33" s="39">
        <v>2043</v>
      </c>
      <c r="B33" s="4">
        <f>('VMT Ton-Mile Driver Time'!G33/'Monetized Values and Factors'!M$24)+('VMT Ton-Mile Driver Time'!G76/'Monetized Values and Factors'!$M$25)</f>
        <v>11620031.097272726</v>
      </c>
      <c r="C33" s="203">
        <f>((('VMT Ton-Mile Driver Time'!$C33*'Emissions - Truck'!AJ36)+('VMT Ton-Mile Driver Time'!$D33*'Emissions - Truck'!BT36)+('VMT Ton-Mile Driver Time'!$E33*'Emissions - Truck'!BK36))/1000000)+('VMT Ton-Mile Driver Time'!$G76*'Emissions - Rail'!$C$3/1000000)</f>
        <v>52516.390090247995</v>
      </c>
      <c r="D33" s="203">
        <f>((('VMT Ton-Mile Driver Time'!$C33*'Emissions - Truck'!AK36)+('VMT Ton-Mile Driver Time'!$D33*'Emissions - Truck'!BU36)+('VMT Ton-Mile Driver Time'!$E33*'Emissions - Truck'!BL36))/1000000)+('VMT Ton-Mile Driver Time'!$G76*'Emissions - Rail'!$D$3/1000000)</f>
        <v>496.09121390549984</v>
      </c>
      <c r="E33" s="203">
        <f>((('VMT Ton-Mile Driver Time'!$C33*'Emissions - Truck'!AL36)+('VMT Ton-Mile Driver Time'!$D33*'Emissions - Truck'!BV36)+('VMT Ton-Mile Driver Time'!$E33*'Emissions - Truck'!BM36))/1000000)+('VMT Ton-Mile Driver Time'!$G76*'Emissions - Rail'!$E$3/1000000)</f>
        <v>13.832684407499997</v>
      </c>
      <c r="F33" s="43">
        <f>((('VMT Ton-Mile Driver Time'!$C33*'Emissions - Truck'!AM36)+('VMT Ton-Mile Driver Time'!$D33*'Emissions - Truck'!BW36)+('VMT Ton-Mile Driver Time'!$E33*'Emissions - Truck'!BN36))/1000000)</f>
        <v>0.27703872299999999</v>
      </c>
      <c r="G33" s="203">
        <f>((('VMT Ton-Mile Driver Time'!$C33*'Emissions - Truck'!AN36)+('VMT Ton-Mile Driver Time'!$D33*'Emissions - Truck'!BX36)+('VMT Ton-Mile Driver Time'!$E33*'Emissions - Truck'!BO36))/1000000)</f>
        <v>0.60000010349999999</v>
      </c>
      <c r="H33" s="44">
        <f>C33*'Monetized Values and Factors'!N73</f>
        <v>0</v>
      </c>
      <c r="I33" s="44">
        <f>D33*'Monetized Values and Factors'!$O$34</f>
        <v>4102705.096653746</v>
      </c>
      <c r="J33" s="44">
        <f>E33*'Monetized Values and Factors'!$O$35</f>
        <v>5232923.3653060952</v>
      </c>
      <c r="K33" s="44">
        <f>F33*'Monetized Values and Factors'!$O$36</f>
        <v>13540.782740130417</v>
      </c>
      <c r="L33" s="45">
        <f>G33*'Monetized Values and Factors'!$O$33</f>
        <v>1259.0147171800013</v>
      </c>
    </row>
    <row r="34" spans="1:12" x14ac:dyDescent="0.25">
      <c r="A34" s="39">
        <v>2044</v>
      </c>
      <c r="B34" s="4">
        <f>('VMT Ton-Mile Driver Time'!G34/'Monetized Values and Factors'!M$24)+('VMT Ton-Mile Driver Time'!G77/'Monetized Values and Factors'!$M$25)</f>
        <v>11620031.097272726</v>
      </c>
      <c r="C34" s="203">
        <f>((('VMT Ton-Mile Driver Time'!$C34*'Emissions - Truck'!AJ37)+('VMT Ton-Mile Driver Time'!$D34*'Emissions - Truck'!BT37)+('VMT Ton-Mile Driver Time'!$E34*'Emissions - Truck'!BK37))/1000000)+('VMT Ton-Mile Driver Time'!$G77*'Emissions - Rail'!$C$3/1000000)</f>
        <v>52516.390090247995</v>
      </c>
      <c r="D34" s="203">
        <f>((('VMT Ton-Mile Driver Time'!$C34*'Emissions - Truck'!AK37)+('VMT Ton-Mile Driver Time'!$D34*'Emissions - Truck'!BU37)+('VMT Ton-Mile Driver Time'!$E34*'Emissions - Truck'!BL37))/1000000)+('VMT Ton-Mile Driver Time'!$G77*'Emissions - Rail'!$D$3/1000000)</f>
        <v>496.09121390549984</v>
      </c>
      <c r="E34" s="203">
        <f>((('VMT Ton-Mile Driver Time'!$C34*'Emissions - Truck'!AL37)+('VMT Ton-Mile Driver Time'!$D34*'Emissions - Truck'!BV37)+('VMT Ton-Mile Driver Time'!$E34*'Emissions - Truck'!BM37))/1000000)+('VMT Ton-Mile Driver Time'!$G77*'Emissions - Rail'!$E$3/1000000)</f>
        <v>13.832684407499997</v>
      </c>
      <c r="F34" s="43">
        <f>((('VMT Ton-Mile Driver Time'!$C34*'Emissions - Truck'!AM37)+('VMT Ton-Mile Driver Time'!$D34*'Emissions - Truck'!BW37)+('VMT Ton-Mile Driver Time'!$E34*'Emissions - Truck'!BN37))/1000000)</f>
        <v>0.27703872299999999</v>
      </c>
      <c r="G34" s="203">
        <f>((('VMT Ton-Mile Driver Time'!$C34*'Emissions - Truck'!AN37)+('VMT Ton-Mile Driver Time'!$D34*'Emissions - Truck'!BX37)+('VMT Ton-Mile Driver Time'!$E34*'Emissions - Truck'!BO37))/1000000)</f>
        <v>0.60000010349999999</v>
      </c>
      <c r="H34" s="44">
        <f>C34*'Monetized Values and Factors'!N74</f>
        <v>0</v>
      </c>
      <c r="I34" s="44">
        <f>D34*'Monetized Values and Factors'!$O$34</f>
        <v>4102705.096653746</v>
      </c>
      <c r="J34" s="44">
        <f>E34*'Monetized Values and Factors'!$O$35</f>
        <v>5232923.3653060952</v>
      </c>
      <c r="K34" s="44">
        <f>F34*'Monetized Values and Factors'!$O$36</f>
        <v>13540.782740130417</v>
      </c>
      <c r="L34" s="45">
        <f>G34*'Monetized Values and Factors'!$O$33</f>
        <v>1259.0147171800013</v>
      </c>
    </row>
    <row r="35" spans="1:12" x14ac:dyDescent="0.25">
      <c r="A35" s="39">
        <v>2045</v>
      </c>
      <c r="B35" s="4">
        <f>('VMT Ton-Mile Driver Time'!G35/'Monetized Values and Factors'!M$24)+('VMT Ton-Mile Driver Time'!G78/'Monetized Values and Factors'!$M$25)</f>
        <v>11620031.097272726</v>
      </c>
      <c r="C35" s="203">
        <f>((('VMT Ton-Mile Driver Time'!$C35*'Emissions - Truck'!AJ38)+('VMT Ton-Mile Driver Time'!$D35*'Emissions - Truck'!BT38)+('VMT Ton-Mile Driver Time'!$E35*'Emissions - Truck'!BK38))/1000000)+('VMT Ton-Mile Driver Time'!$G78*'Emissions - Rail'!$C$3/1000000)</f>
        <v>52516.390090247995</v>
      </c>
      <c r="D35" s="203">
        <f>((('VMT Ton-Mile Driver Time'!$C35*'Emissions - Truck'!AK38)+('VMT Ton-Mile Driver Time'!$D35*'Emissions - Truck'!BU38)+('VMT Ton-Mile Driver Time'!$E35*'Emissions - Truck'!BL38))/1000000)+('VMT Ton-Mile Driver Time'!$G78*'Emissions - Rail'!$D$3/1000000)</f>
        <v>496.09121390549984</v>
      </c>
      <c r="E35" s="203">
        <f>((('VMT Ton-Mile Driver Time'!$C35*'Emissions - Truck'!AL38)+('VMT Ton-Mile Driver Time'!$D35*'Emissions - Truck'!BV38)+('VMT Ton-Mile Driver Time'!$E35*'Emissions - Truck'!BM38))/1000000)+('VMT Ton-Mile Driver Time'!$G78*'Emissions - Rail'!$E$3/1000000)</f>
        <v>13.832684407499997</v>
      </c>
      <c r="F35" s="43">
        <f>((('VMT Ton-Mile Driver Time'!$C35*'Emissions - Truck'!AM38)+('VMT Ton-Mile Driver Time'!$D35*'Emissions - Truck'!BW38)+('VMT Ton-Mile Driver Time'!$E35*'Emissions - Truck'!BN38))/1000000)</f>
        <v>0.27703872299999999</v>
      </c>
      <c r="G35" s="203">
        <f>((('VMT Ton-Mile Driver Time'!$C35*'Emissions - Truck'!AN38)+('VMT Ton-Mile Driver Time'!$D35*'Emissions - Truck'!BX38)+('VMT Ton-Mile Driver Time'!$E35*'Emissions - Truck'!BO38))/1000000)</f>
        <v>0.60000010349999999</v>
      </c>
      <c r="H35" s="44">
        <f>C35*'Monetized Values and Factors'!N75</f>
        <v>0</v>
      </c>
      <c r="I35" s="44">
        <f>D35*'Monetized Values and Factors'!$O$34</f>
        <v>4102705.096653746</v>
      </c>
      <c r="J35" s="44">
        <f>E35*'Monetized Values and Factors'!$O$35</f>
        <v>5232923.3653060952</v>
      </c>
      <c r="K35" s="44">
        <f>F35*'Monetized Values and Factors'!$O$36</f>
        <v>13540.782740130417</v>
      </c>
      <c r="L35" s="45">
        <f>G35*'Monetized Values and Factors'!$O$33</f>
        <v>1259.0147171800013</v>
      </c>
    </row>
    <row r="36" spans="1:12" x14ac:dyDescent="0.25">
      <c r="A36" s="39">
        <v>2046</v>
      </c>
      <c r="B36" s="4">
        <f>('VMT Ton-Mile Driver Time'!G36/'Monetized Values and Factors'!M$24)+('VMT Ton-Mile Driver Time'!G79/'Monetized Values and Factors'!$M$25)</f>
        <v>11620031.097272726</v>
      </c>
      <c r="C36" s="203">
        <f>((('VMT Ton-Mile Driver Time'!$C36*'Emissions - Truck'!AJ39)+('VMT Ton-Mile Driver Time'!$D36*'Emissions - Truck'!BT39)+('VMT Ton-Mile Driver Time'!$E36*'Emissions - Truck'!BK39))/1000000)+('VMT Ton-Mile Driver Time'!$G79*'Emissions - Rail'!$C$3/1000000)</f>
        <v>52516.390090247995</v>
      </c>
      <c r="D36" s="203">
        <f>((('VMT Ton-Mile Driver Time'!$C36*'Emissions - Truck'!AK39)+('VMT Ton-Mile Driver Time'!$D36*'Emissions - Truck'!BU39)+('VMT Ton-Mile Driver Time'!$E36*'Emissions - Truck'!BL39))/1000000)+('VMT Ton-Mile Driver Time'!$G79*'Emissions - Rail'!$D$3/1000000)</f>
        <v>496.09121390549984</v>
      </c>
      <c r="E36" s="203">
        <f>((('VMT Ton-Mile Driver Time'!$C36*'Emissions - Truck'!AL39)+('VMT Ton-Mile Driver Time'!$D36*'Emissions - Truck'!BV39)+('VMT Ton-Mile Driver Time'!$E36*'Emissions - Truck'!BM39))/1000000)+('VMT Ton-Mile Driver Time'!$G79*'Emissions - Rail'!$E$3/1000000)</f>
        <v>13.832684407499997</v>
      </c>
      <c r="F36" s="43">
        <f>((('VMT Ton-Mile Driver Time'!$C36*'Emissions - Truck'!AM39)+('VMT Ton-Mile Driver Time'!$D36*'Emissions - Truck'!BW39)+('VMT Ton-Mile Driver Time'!$E36*'Emissions - Truck'!BN39))/1000000)</f>
        <v>0.27703872299999999</v>
      </c>
      <c r="G36" s="203">
        <f>((('VMT Ton-Mile Driver Time'!$C36*'Emissions - Truck'!AN39)+('VMT Ton-Mile Driver Time'!$D36*'Emissions - Truck'!BX39)+('VMT Ton-Mile Driver Time'!$E36*'Emissions - Truck'!BO39))/1000000)</f>
        <v>0.60000010349999999</v>
      </c>
      <c r="H36" s="44">
        <f>C36*'Monetized Values and Factors'!N76</f>
        <v>0</v>
      </c>
      <c r="I36" s="44">
        <f>D36*'Monetized Values and Factors'!$O$34</f>
        <v>4102705.096653746</v>
      </c>
      <c r="J36" s="44">
        <f>E36*'Monetized Values and Factors'!$O$35</f>
        <v>5232923.3653060952</v>
      </c>
      <c r="K36" s="44">
        <f>F36*'Monetized Values and Factors'!$O$36</f>
        <v>13540.782740130417</v>
      </c>
      <c r="L36" s="45">
        <f>G36*'Monetized Values and Factors'!$O$33</f>
        <v>1259.0147171800013</v>
      </c>
    </row>
    <row r="37" spans="1:12" x14ac:dyDescent="0.25">
      <c r="A37" s="39">
        <v>2047</v>
      </c>
      <c r="B37" s="4">
        <f>('VMT Ton-Mile Driver Time'!G37/'Monetized Values and Factors'!M$24)+('VMT Ton-Mile Driver Time'!G80/'Monetized Values and Factors'!$M$25)</f>
        <v>11620031.097272726</v>
      </c>
      <c r="C37" s="203">
        <f>((('VMT Ton-Mile Driver Time'!$C37*'Emissions - Truck'!AJ40)+('VMT Ton-Mile Driver Time'!$D37*'Emissions - Truck'!BT40)+('VMT Ton-Mile Driver Time'!$E37*'Emissions - Truck'!BK40))/1000000)+('VMT Ton-Mile Driver Time'!$G80*'Emissions - Rail'!$C$3/1000000)</f>
        <v>52516.390090247995</v>
      </c>
      <c r="D37" s="203">
        <f>((('VMT Ton-Mile Driver Time'!$C37*'Emissions - Truck'!AK40)+('VMT Ton-Mile Driver Time'!$D37*'Emissions - Truck'!BU40)+('VMT Ton-Mile Driver Time'!$E37*'Emissions - Truck'!BL40))/1000000)+('VMT Ton-Mile Driver Time'!$G80*'Emissions - Rail'!$D$3/1000000)</f>
        <v>496.09121390549984</v>
      </c>
      <c r="E37" s="203">
        <f>((('VMT Ton-Mile Driver Time'!$C37*'Emissions - Truck'!AL40)+('VMT Ton-Mile Driver Time'!$D37*'Emissions - Truck'!BV40)+('VMT Ton-Mile Driver Time'!$E37*'Emissions - Truck'!BM40))/1000000)+('VMT Ton-Mile Driver Time'!$G80*'Emissions - Rail'!$E$3/1000000)</f>
        <v>13.832684407499997</v>
      </c>
      <c r="F37" s="43">
        <f>((('VMT Ton-Mile Driver Time'!$C37*'Emissions - Truck'!AM40)+('VMT Ton-Mile Driver Time'!$D37*'Emissions - Truck'!BW40)+('VMT Ton-Mile Driver Time'!$E37*'Emissions - Truck'!BN40))/1000000)</f>
        <v>0.27703872299999999</v>
      </c>
      <c r="G37" s="203">
        <f>((('VMT Ton-Mile Driver Time'!$C37*'Emissions - Truck'!AN40)+('VMT Ton-Mile Driver Time'!$D37*'Emissions - Truck'!BX40)+('VMT Ton-Mile Driver Time'!$E37*'Emissions - Truck'!BO40))/1000000)</f>
        <v>0.60000010349999999</v>
      </c>
      <c r="H37" s="44">
        <f>C37*'Monetized Values and Factors'!N77</f>
        <v>0</v>
      </c>
      <c r="I37" s="44">
        <f>D37*'Monetized Values and Factors'!$O$34</f>
        <v>4102705.096653746</v>
      </c>
      <c r="J37" s="44">
        <f>E37*'Monetized Values and Factors'!$O$35</f>
        <v>5232923.3653060952</v>
      </c>
      <c r="K37" s="44">
        <f>F37*'Monetized Values and Factors'!$O$36</f>
        <v>13540.782740130417</v>
      </c>
      <c r="L37" s="45">
        <f>G37*'Monetized Values and Factors'!$O$33</f>
        <v>1259.0147171800013</v>
      </c>
    </row>
    <row r="38" spans="1:12" x14ac:dyDescent="0.25">
      <c r="A38" s="39">
        <v>2048</v>
      </c>
      <c r="B38" s="4">
        <f>('VMT Ton-Mile Driver Time'!G38/'Monetized Values and Factors'!M$24)+('VMT Ton-Mile Driver Time'!G81/'Monetized Values and Factors'!$M$25)</f>
        <v>11620031.097272726</v>
      </c>
      <c r="C38" s="203">
        <f>((('VMT Ton-Mile Driver Time'!$C38*'Emissions - Truck'!AJ41)+('VMT Ton-Mile Driver Time'!$D38*'Emissions - Truck'!BT41)+('VMT Ton-Mile Driver Time'!$E38*'Emissions - Truck'!BK41))/1000000)+('VMT Ton-Mile Driver Time'!$G81*'Emissions - Rail'!$C$3/1000000)</f>
        <v>52516.390090247995</v>
      </c>
      <c r="D38" s="203">
        <f>((('VMT Ton-Mile Driver Time'!$C38*'Emissions - Truck'!AK41)+('VMT Ton-Mile Driver Time'!$D38*'Emissions - Truck'!BU41)+('VMT Ton-Mile Driver Time'!$E38*'Emissions - Truck'!BL41))/1000000)+('VMT Ton-Mile Driver Time'!$G81*'Emissions - Rail'!$D$3/1000000)</f>
        <v>496.09121390549984</v>
      </c>
      <c r="E38" s="203">
        <f>((('VMT Ton-Mile Driver Time'!$C38*'Emissions - Truck'!AL41)+('VMT Ton-Mile Driver Time'!$D38*'Emissions - Truck'!BV41)+('VMT Ton-Mile Driver Time'!$E38*'Emissions - Truck'!BM41))/1000000)+('VMT Ton-Mile Driver Time'!$G81*'Emissions - Rail'!$E$3/1000000)</f>
        <v>13.832684407499997</v>
      </c>
      <c r="F38" s="43">
        <f>((('VMT Ton-Mile Driver Time'!$C38*'Emissions - Truck'!AM41)+('VMT Ton-Mile Driver Time'!$D38*'Emissions - Truck'!BW41)+('VMT Ton-Mile Driver Time'!$E38*'Emissions - Truck'!BN41))/1000000)</f>
        <v>0.27703872299999999</v>
      </c>
      <c r="G38" s="203">
        <f>((('VMT Ton-Mile Driver Time'!$C38*'Emissions - Truck'!AN41)+('VMT Ton-Mile Driver Time'!$D38*'Emissions - Truck'!BX41)+('VMT Ton-Mile Driver Time'!$E38*'Emissions - Truck'!BO41))/1000000)</f>
        <v>0.60000010349999999</v>
      </c>
      <c r="H38" s="44">
        <f>C38*'Monetized Values and Factors'!N78</f>
        <v>0</v>
      </c>
      <c r="I38" s="44">
        <f>D38*'Monetized Values and Factors'!$O$34</f>
        <v>4102705.096653746</v>
      </c>
      <c r="J38" s="44">
        <f>E38*'Monetized Values and Factors'!$O$35</f>
        <v>5232923.3653060952</v>
      </c>
      <c r="K38" s="44">
        <f>F38*'Monetized Values and Factors'!$O$36</f>
        <v>13540.782740130417</v>
      </c>
      <c r="L38" s="45">
        <f>G38*'Monetized Values and Factors'!$O$33</f>
        <v>1259.0147171800013</v>
      </c>
    </row>
    <row r="39" spans="1:12" x14ac:dyDescent="0.25">
      <c r="A39" s="39">
        <v>2049</v>
      </c>
      <c r="B39" s="4">
        <f>('VMT Ton-Mile Driver Time'!G39/'Monetized Values and Factors'!M$24)+('VMT Ton-Mile Driver Time'!G82/'Monetized Values and Factors'!$M$25)</f>
        <v>11620031.097272726</v>
      </c>
      <c r="C39" s="203">
        <f>((('VMT Ton-Mile Driver Time'!$C39*'Emissions - Truck'!AJ42)+('VMT Ton-Mile Driver Time'!$D39*'Emissions - Truck'!BT42)+('VMT Ton-Mile Driver Time'!$E39*'Emissions - Truck'!BK42))/1000000)+('VMT Ton-Mile Driver Time'!$G82*'Emissions - Rail'!$C$3/1000000)</f>
        <v>52516.390090247995</v>
      </c>
      <c r="D39" s="203">
        <f>((('VMT Ton-Mile Driver Time'!$C39*'Emissions - Truck'!AK42)+('VMT Ton-Mile Driver Time'!$D39*'Emissions - Truck'!BU42)+('VMT Ton-Mile Driver Time'!$E39*'Emissions - Truck'!BL42))/1000000)+('VMT Ton-Mile Driver Time'!$G82*'Emissions - Rail'!$D$3/1000000)</f>
        <v>496.09121390549984</v>
      </c>
      <c r="E39" s="203">
        <f>((('VMT Ton-Mile Driver Time'!$C39*'Emissions - Truck'!AL42)+('VMT Ton-Mile Driver Time'!$D39*'Emissions - Truck'!BV42)+('VMT Ton-Mile Driver Time'!$E39*'Emissions - Truck'!BM42))/1000000)+('VMT Ton-Mile Driver Time'!$G82*'Emissions - Rail'!$E$3/1000000)</f>
        <v>13.832684407499997</v>
      </c>
      <c r="F39" s="43">
        <f>((('VMT Ton-Mile Driver Time'!$C39*'Emissions - Truck'!AM42)+('VMT Ton-Mile Driver Time'!$D39*'Emissions - Truck'!BW42)+('VMT Ton-Mile Driver Time'!$E39*'Emissions - Truck'!BN42))/1000000)</f>
        <v>0.27703872299999999</v>
      </c>
      <c r="G39" s="203">
        <f>((('VMT Ton-Mile Driver Time'!$C39*'Emissions - Truck'!AN42)+('VMT Ton-Mile Driver Time'!$D39*'Emissions - Truck'!BX42)+('VMT Ton-Mile Driver Time'!$E39*'Emissions - Truck'!BO42))/1000000)</f>
        <v>0.60000010349999999</v>
      </c>
      <c r="H39" s="44">
        <f>C39*'Monetized Values and Factors'!N79</f>
        <v>0</v>
      </c>
      <c r="I39" s="44">
        <f>D39*'Monetized Values and Factors'!$O$34</f>
        <v>4102705.096653746</v>
      </c>
      <c r="J39" s="44">
        <f>E39*'Monetized Values and Factors'!$O$35</f>
        <v>5232923.3653060952</v>
      </c>
      <c r="K39" s="44">
        <f>F39*'Monetized Values and Factors'!$O$36</f>
        <v>13540.782740130417</v>
      </c>
      <c r="L39" s="45">
        <f>G39*'Monetized Values and Factors'!$O$33</f>
        <v>1259.0147171800013</v>
      </c>
    </row>
    <row r="40" spans="1:12" x14ac:dyDescent="0.25">
      <c r="A40" s="39">
        <v>2050</v>
      </c>
      <c r="B40" s="4">
        <f>('VMT Ton-Mile Driver Time'!G40/'Monetized Values and Factors'!M$24)+('VMT Ton-Mile Driver Time'!G83/'Monetized Values and Factors'!$M$25)</f>
        <v>11620031.097272726</v>
      </c>
      <c r="C40" s="203">
        <f>((('VMT Ton-Mile Driver Time'!$C40*'Emissions - Truck'!AJ43)+('VMT Ton-Mile Driver Time'!$D40*'Emissions - Truck'!BT43)+('VMT Ton-Mile Driver Time'!$E40*'Emissions - Truck'!BK43))/1000000)+('VMT Ton-Mile Driver Time'!$G83*'Emissions - Rail'!$C$3/1000000)</f>
        <v>52516.390090247995</v>
      </c>
      <c r="D40" s="203">
        <f>((('VMT Ton-Mile Driver Time'!$C40*'Emissions - Truck'!AK43)+('VMT Ton-Mile Driver Time'!$D40*'Emissions - Truck'!BU43)+('VMT Ton-Mile Driver Time'!$E40*'Emissions - Truck'!BL43))/1000000)+('VMT Ton-Mile Driver Time'!$G83*'Emissions - Rail'!$D$3/1000000)</f>
        <v>496.09121390549984</v>
      </c>
      <c r="E40" s="203">
        <f>((('VMT Ton-Mile Driver Time'!$C40*'Emissions - Truck'!AL43)+('VMT Ton-Mile Driver Time'!$D40*'Emissions - Truck'!BV43)+('VMT Ton-Mile Driver Time'!$E40*'Emissions - Truck'!BM43))/1000000)+('VMT Ton-Mile Driver Time'!$G83*'Emissions - Rail'!$E$3/1000000)</f>
        <v>13.832684407499997</v>
      </c>
      <c r="F40" s="43">
        <f>((('VMT Ton-Mile Driver Time'!$C40*'Emissions - Truck'!AM43)+('VMT Ton-Mile Driver Time'!$D40*'Emissions - Truck'!BW43)+('VMT Ton-Mile Driver Time'!$E40*'Emissions - Truck'!BN43))/1000000)</f>
        <v>0.27703872299999999</v>
      </c>
      <c r="G40" s="203">
        <f>((('VMT Ton-Mile Driver Time'!$C40*'Emissions - Truck'!AN43)+('VMT Ton-Mile Driver Time'!$D40*'Emissions - Truck'!BX43)+('VMT Ton-Mile Driver Time'!$E40*'Emissions - Truck'!BO43))/1000000)</f>
        <v>0.60000010349999999</v>
      </c>
      <c r="H40" s="44">
        <f>C40*'Monetized Values and Factors'!$N$80</f>
        <v>0</v>
      </c>
      <c r="I40" s="44">
        <f>D40*'Monetized Values and Factors'!$O$34</f>
        <v>4102705.096653746</v>
      </c>
      <c r="J40" s="44">
        <f>E40*'Monetized Values and Factors'!$O$35</f>
        <v>5232923.3653060952</v>
      </c>
      <c r="K40" s="44">
        <f>F40*'Monetized Values and Factors'!$O$36</f>
        <v>13540.782740130417</v>
      </c>
      <c r="L40" s="45">
        <f>G40*'Monetized Values and Factors'!$O$33</f>
        <v>1259.0147171800013</v>
      </c>
    </row>
    <row r="41" spans="1:12" x14ac:dyDescent="0.25">
      <c r="A41" s="39">
        <v>2051</v>
      </c>
      <c r="B41" s="4">
        <f>('VMT Ton-Mile Driver Time'!G41/'Monetized Values and Factors'!M$24)+('VMT Ton-Mile Driver Time'!G84/'Monetized Values and Factors'!$M$25)</f>
        <v>11620031.097272726</v>
      </c>
      <c r="C41" s="203">
        <f>((('VMT Ton-Mile Driver Time'!$C41*'Emissions - Truck'!AJ44)+('VMT Ton-Mile Driver Time'!$D41*'Emissions - Truck'!BT44)+('VMT Ton-Mile Driver Time'!$E41*'Emissions - Truck'!BK44))/1000000)+('VMT Ton-Mile Driver Time'!$G84*'Emissions - Rail'!$C$3/1000000)</f>
        <v>52516.390090247995</v>
      </c>
      <c r="D41" s="203">
        <f>((('VMT Ton-Mile Driver Time'!$C41*'Emissions - Truck'!AK44)+('VMT Ton-Mile Driver Time'!$D41*'Emissions - Truck'!BU44)+('VMT Ton-Mile Driver Time'!$E41*'Emissions - Truck'!BL44))/1000000)+('VMT Ton-Mile Driver Time'!$G84*'Emissions - Rail'!$D$3/1000000)</f>
        <v>496.09121390549984</v>
      </c>
      <c r="E41" s="203">
        <f>((('VMT Ton-Mile Driver Time'!$C41*'Emissions - Truck'!AL44)+('VMT Ton-Mile Driver Time'!$D41*'Emissions - Truck'!BV44)+('VMT Ton-Mile Driver Time'!$E41*'Emissions - Truck'!BM44))/1000000)+('VMT Ton-Mile Driver Time'!$G84*'Emissions - Rail'!$E$3/1000000)</f>
        <v>13.832684407499997</v>
      </c>
      <c r="F41" s="43">
        <f>((('VMT Ton-Mile Driver Time'!$C41*'Emissions - Truck'!AM44)+('VMT Ton-Mile Driver Time'!$D41*'Emissions - Truck'!BW44)+('VMT Ton-Mile Driver Time'!$E41*'Emissions - Truck'!BN44))/1000000)</f>
        <v>0.27703872299999999</v>
      </c>
      <c r="G41" s="203">
        <f>((('VMT Ton-Mile Driver Time'!$C41*'Emissions - Truck'!AN44)+('VMT Ton-Mile Driver Time'!$D41*'Emissions - Truck'!BX44)+('VMT Ton-Mile Driver Time'!$E41*'Emissions - Truck'!BO44))/1000000)</f>
        <v>0.60000010349999999</v>
      </c>
      <c r="H41" s="44">
        <f>C41*'Monetized Values and Factors'!$N$80</f>
        <v>0</v>
      </c>
      <c r="I41" s="44">
        <f>D41*'Monetized Values and Factors'!$O$34</f>
        <v>4102705.096653746</v>
      </c>
      <c r="J41" s="44">
        <f>E41*'Monetized Values and Factors'!$O$35</f>
        <v>5232923.3653060952</v>
      </c>
      <c r="K41" s="44">
        <f>F41*'Monetized Values and Factors'!$O$36</f>
        <v>13540.782740130417</v>
      </c>
      <c r="L41" s="45">
        <f>G41*'Monetized Values and Factors'!$O$33</f>
        <v>1259.0147171800013</v>
      </c>
    </row>
    <row r="42" spans="1:12" ht="15.75" thickBot="1" x14ac:dyDescent="0.3">
      <c r="A42" s="46" t="s">
        <v>2</v>
      </c>
      <c r="B42" s="47">
        <f t="shared" ref="B42:L42" si="0">SUM(B4:B41)</f>
        <v>284611172.62909091</v>
      </c>
      <c r="C42" s="47">
        <f t="shared" si="0"/>
        <v>1293803.2560148032</v>
      </c>
      <c r="D42" s="47">
        <f t="shared" si="0"/>
        <v>12211.711848723506</v>
      </c>
      <c r="E42" s="47">
        <f t="shared" si="0"/>
        <v>339.60284285629632</v>
      </c>
      <c r="F42" s="47">
        <f t="shared" si="0"/>
        <v>6.8652356252552593</v>
      </c>
      <c r="G42" s="47">
        <f t="shared" si="0"/>
        <v>17.642250447298029</v>
      </c>
      <c r="H42" s="207">
        <f t="shared" si="0"/>
        <v>0</v>
      </c>
      <c r="I42" s="207">
        <f t="shared" si="0"/>
        <v>100991614.115078</v>
      </c>
      <c r="J42" s="207">
        <f t="shared" si="0"/>
        <v>128472218.33121176</v>
      </c>
      <c r="K42" s="207">
        <f t="shared" si="0"/>
        <v>335551.1570899958</v>
      </c>
      <c r="L42" s="208">
        <f t="shared" si="0"/>
        <v>37019.74854296619</v>
      </c>
    </row>
    <row r="43" spans="1:12" ht="15.75" thickBot="1" x14ac:dyDescent="0.3"/>
    <row r="44" spans="1:12" ht="19.5" thickBot="1" x14ac:dyDescent="0.35">
      <c r="A44" s="510" t="s">
        <v>118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2"/>
    </row>
    <row r="45" spans="1:12" ht="45" x14ac:dyDescent="0.25">
      <c r="A45" s="20" t="s">
        <v>3</v>
      </c>
      <c r="B45" s="172" t="s">
        <v>269</v>
      </c>
      <c r="C45" s="172" t="s">
        <v>285</v>
      </c>
      <c r="D45" s="172" t="s">
        <v>270</v>
      </c>
      <c r="E45" s="172" t="s">
        <v>287</v>
      </c>
      <c r="F45" s="172" t="s">
        <v>271</v>
      </c>
      <c r="G45" s="172" t="s">
        <v>272</v>
      </c>
      <c r="H45" s="172" t="s">
        <v>429</v>
      </c>
      <c r="I45" s="172" t="s">
        <v>430</v>
      </c>
      <c r="J45" s="172" t="s">
        <v>431</v>
      </c>
      <c r="K45" s="172" t="s">
        <v>432</v>
      </c>
      <c r="L45" s="173" t="s">
        <v>433</v>
      </c>
    </row>
    <row r="46" spans="1:12" x14ac:dyDescent="0.25">
      <c r="A46" s="39">
        <v>2014</v>
      </c>
      <c r="B46" s="4">
        <f>('VMT Ton-Mile Driver Time'!N4/'Monetized Values and Factors'!M$24)+('VMT Ton-Mile Driver Time'!N47/'Monetized Values and Factors'!$M$25)</f>
        <v>0</v>
      </c>
      <c r="C46" s="203">
        <f>((('VMT Ton-Mile Driver Time'!$J4*'Emissions - Truck'!AA9)+('VMT Ton-Mile Driver Time'!$K4*'Emissions - Truck'!AS9)+('VMT Ton-Mile Driver Time'!$L4*'Emissions - Truck'!BB9))/1000000)+('VMT Ton-Mile Driver Time'!$N47*'Emissions - Rail'!$C$3/1000000)</f>
        <v>0</v>
      </c>
      <c r="D46" s="203">
        <f>((('VMT Ton-Mile Driver Time'!$J4*'Emissions - Truck'!AB9)+('VMT Ton-Mile Driver Time'!$K4*'Emissions - Truck'!AT9)+('VMT Ton-Mile Driver Time'!$L4*'Emissions - Truck'!BC9))/1000000)+('VMT Ton-Mile Driver Time'!$N47*'Emissions - Rail'!$D$3/1000000)</f>
        <v>0</v>
      </c>
      <c r="E46" s="203">
        <f>((('VMT Ton-Mile Driver Time'!$J4*'Emissions - Truck'!AC9)+('VMT Ton-Mile Driver Time'!$K4*'Emissions - Truck'!AU9)+('VMT Ton-Mile Driver Time'!$L4*'Emissions - Truck'!BD9))/1000000)+('VMT Ton-Mile Driver Time'!$N47*'Emissions - Rail'!$E$3/1000000)</f>
        <v>0</v>
      </c>
      <c r="F46" s="43">
        <f>((('VMT Ton-Mile Driver Time'!$J4*'Emissions - Truck'!AD9)+('VMT Ton-Mile Driver Time'!$K4*'Emissions - Truck'!AV9)+('VMT Ton-Mile Driver Time'!$L4*'Emissions - Truck'!BE9))/1000000)</f>
        <v>0</v>
      </c>
      <c r="G46" s="203">
        <f>((('VMT Ton-Mile Driver Time'!$J4*'Emissions - Truck'!AE9)+('VMT Ton-Mile Driver Time'!$K4*'Emissions - Truck'!AW9)+('VMT Ton-Mile Driver Time'!$L4*'Emissions - Truck'!BF9))/1000000)</f>
        <v>0</v>
      </c>
      <c r="H46" s="44">
        <f>C46*'Monetized Values and Factors'!N44</f>
        <v>0</v>
      </c>
      <c r="I46" s="44">
        <f>D46*'Monetized Values and Factors'!$O$34</f>
        <v>0</v>
      </c>
      <c r="J46" s="44">
        <f>E46*'Monetized Values and Factors'!$O$35</f>
        <v>0</v>
      </c>
      <c r="K46" s="44">
        <f>F46*'Monetized Values and Factors'!$O$36</f>
        <v>0</v>
      </c>
      <c r="L46" s="45">
        <f>G46*'Monetized Values and Factors'!$O$33</f>
        <v>0</v>
      </c>
    </row>
    <row r="47" spans="1:12" x14ac:dyDescent="0.25">
      <c r="A47" s="39">
        <v>2015</v>
      </c>
      <c r="B47" s="4">
        <f>('VMT Ton-Mile Driver Time'!N5/'Monetized Values and Factors'!M$24)+('VMT Ton-Mile Driver Time'!N48/'Monetized Values and Factors'!$M$25)</f>
        <v>0</v>
      </c>
      <c r="C47" s="203">
        <f>((('VMT Ton-Mile Driver Time'!$J5*'Emissions - Truck'!AA9)+('VMT Ton-Mile Driver Time'!$K5*'Emissions - Truck'!AS9)+('VMT Ton-Mile Driver Time'!$L5*'Emissions - Truck'!BB9))/1000000)+('VMT Ton-Mile Driver Time'!$N48*'Emissions - Rail'!$C$3/1000000)</f>
        <v>0</v>
      </c>
      <c r="D47" s="203">
        <f>((('VMT Ton-Mile Driver Time'!$J5*'Emissions - Truck'!AB9)+('VMT Ton-Mile Driver Time'!$K5*'Emissions - Truck'!AT9)+('VMT Ton-Mile Driver Time'!$L5*'Emissions - Truck'!BC9))/1000000)+('VMT Ton-Mile Driver Time'!$N48*'Emissions - Rail'!$D$3/1000000)</f>
        <v>0</v>
      </c>
      <c r="E47" s="203">
        <f>((('VMT Ton-Mile Driver Time'!$J5*'Emissions - Truck'!AC9)+('VMT Ton-Mile Driver Time'!$K5*'Emissions - Truck'!AU9)+('VMT Ton-Mile Driver Time'!$L5*'Emissions - Truck'!BD9))/1000000)+('VMT Ton-Mile Driver Time'!$N48*'Emissions - Rail'!$E$3/1000000)</f>
        <v>0</v>
      </c>
      <c r="F47" s="43">
        <f>((('VMT Ton-Mile Driver Time'!$J5*'Emissions - Truck'!AD9)+('VMT Ton-Mile Driver Time'!$K5*'Emissions - Truck'!AV9)+('VMT Ton-Mile Driver Time'!$L5*'Emissions - Truck'!BE9))/1000000)</f>
        <v>0</v>
      </c>
      <c r="G47" s="203">
        <f>((('VMT Ton-Mile Driver Time'!$J5*'Emissions - Truck'!AE9)+('VMT Ton-Mile Driver Time'!$K5*'Emissions - Truck'!AW9)+('VMT Ton-Mile Driver Time'!$L5*'Emissions - Truck'!BF9))/1000000)</f>
        <v>0</v>
      </c>
      <c r="H47" s="44">
        <f>C47*'Monetized Values and Factors'!N45</f>
        <v>0</v>
      </c>
      <c r="I47" s="44">
        <f>D47*'Monetized Values and Factors'!$O$34</f>
        <v>0</v>
      </c>
      <c r="J47" s="44">
        <f>E47*'Monetized Values and Factors'!$O$35</f>
        <v>0</v>
      </c>
      <c r="K47" s="44">
        <f>F47*'Monetized Values and Factors'!$O$36</f>
        <v>0</v>
      </c>
      <c r="L47" s="45">
        <f>G47*'Monetized Values and Factors'!$O$33</f>
        <v>0</v>
      </c>
    </row>
    <row r="48" spans="1:12" x14ac:dyDescent="0.25">
      <c r="A48" s="39">
        <v>2016</v>
      </c>
      <c r="B48" s="4">
        <f>('VMT Ton-Mile Driver Time'!N6/'Monetized Values and Factors'!M$24)+('VMT Ton-Mile Driver Time'!N49/'Monetized Values and Factors'!$M$25)</f>
        <v>0</v>
      </c>
      <c r="C48" s="203">
        <f>((('VMT Ton-Mile Driver Time'!$J6*'Emissions - Truck'!AA9)+('VMT Ton-Mile Driver Time'!$K6*'Emissions - Truck'!AS9)+('VMT Ton-Mile Driver Time'!$L6*'Emissions - Truck'!BB9))/1000000)+('VMT Ton-Mile Driver Time'!$N49*'Emissions - Rail'!$C$3/1000000)</f>
        <v>0</v>
      </c>
      <c r="D48" s="203">
        <f>((('VMT Ton-Mile Driver Time'!$J6*'Emissions - Truck'!AB9)+('VMT Ton-Mile Driver Time'!$K6*'Emissions - Truck'!AT9)+('VMT Ton-Mile Driver Time'!$L6*'Emissions - Truck'!BC9))/1000000)+('VMT Ton-Mile Driver Time'!$N49*'Emissions - Rail'!$D$3/1000000)</f>
        <v>0</v>
      </c>
      <c r="E48" s="203">
        <f>((('VMT Ton-Mile Driver Time'!$J6*'Emissions - Truck'!AC9)+('VMT Ton-Mile Driver Time'!$K6*'Emissions - Truck'!AU9)+('VMT Ton-Mile Driver Time'!$L6*'Emissions - Truck'!BD9))/1000000)+('VMT Ton-Mile Driver Time'!$N49*'Emissions - Rail'!$E$3/1000000)</f>
        <v>0</v>
      </c>
      <c r="F48" s="43">
        <f>((('VMT Ton-Mile Driver Time'!$J6*'Emissions - Truck'!AD9)+('VMT Ton-Mile Driver Time'!$K6*'Emissions - Truck'!AV9)+('VMT Ton-Mile Driver Time'!$L6*'Emissions - Truck'!BE9))/1000000)</f>
        <v>0</v>
      </c>
      <c r="G48" s="203">
        <f>((('VMT Ton-Mile Driver Time'!$J6*'Emissions - Truck'!AE9)+('VMT Ton-Mile Driver Time'!$K6*'Emissions - Truck'!AW9)+('VMT Ton-Mile Driver Time'!$L6*'Emissions - Truck'!BF9))/1000000)</f>
        <v>0</v>
      </c>
      <c r="H48" s="44">
        <f>C48*'Monetized Values and Factors'!N46</f>
        <v>0</v>
      </c>
      <c r="I48" s="44">
        <f>D48*'Monetized Values and Factors'!$O$34</f>
        <v>0</v>
      </c>
      <c r="J48" s="44">
        <f>E48*'Monetized Values and Factors'!$O$35</f>
        <v>0</v>
      </c>
      <c r="K48" s="44">
        <f>F48*'Monetized Values and Factors'!$O$36</f>
        <v>0</v>
      </c>
      <c r="L48" s="45">
        <f>G48*'Monetized Values and Factors'!$O$33</f>
        <v>0</v>
      </c>
    </row>
    <row r="49" spans="1:12" x14ac:dyDescent="0.25">
      <c r="A49" s="39">
        <v>2017</v>
      </c>
      <c r="B49" s="4">
        <f>('VMT Ton-Mile Driver Time'!N7/'Monetized Values and Factors'!M$24)+('VMT Ton-Mile Driver Time'!N50/'Monetized Values and Factors'!$M$25)</f>
        <v>0</v>
      </c>
      <c r="C49" s="203">
        <f>((('VMT Ton-Mile Driver Time'!$J7*'Emissions - Truck'!AA10)+('VMT Ton-Mile Driver Time'!$K7*'Emissions - Truck'!AS10)+('VMT Ton-Mile Driver Time'!$L7*'Emissions - Truck'!BB10))/1000000)+('VMT Ton-Mile Driver Time'!$N50*'Emissions - Rail'!$C$3/1000000)</f>
        <v>0</v>
      </c>
      <c r="D49" s="203">
        <f>((('VMT Ton-Mile Driver Time'!$J7*'Emissions - Truck'!AB10)+('VMT Ton-Mile Driver Time'!$K7*'Emissions - Truck'!AT10)+('VMT Ton-Mile Driver Time'!$L7*'Emissions - Truck'!BC10))/1000000)+('VMT Ton-Mile Driver Time'!$N50*'Emissions - Rail'!$D$3/1000000)</f>
        <v>0</v>
      </c>
      <c r="E49" s="203">
        <f>((('VMT Ton-Mile Driver Time'!$J7*'Emissions - Truck'!AC10)+('VMT Ton-Mile Driver Time'!$K7*'Emissions - Truck'!AU10)+('VMT Ton-Mile Driver Time'!$L7*'Emissions - Truck'!BD10))/1000000)+('VMT Ton-Mile Driver Time'!$N50*'Emissions - Rail'!$E$3/1000000)</f>
        <v>0</v>
      </c>
      <c r="F49" s="43">
        <f>((('VMT Ton-Mile Driver Time'!$J7*'Emissions - Truck'!AD10)+('VMT Ton-Mile Driver Time'!$K7*'Emissions - Truck'!AV10)+('VMT Ton-Mile Driver Time'!$L7*'Emissions - Truck'!BE10))/1000000)</f>
        <v>0</v>
      </c>
      <c r="G49" s="203">
        <f>((('VMT Ton-Mile Driver Time'!$J7*'Emissions - Truck'!AE10)+('VMT Ton-Mile Driver Time'!$K7*'Emissions - Truck'!AW10)+('VMT Ton-Mile Driver Time'!$L7*'Emissions - Truck'!BF10))/1000000)</f>
        <v>0</v>
      </c>
      <c r="H49" s="44">
        <f>C49*'Monetized Values and Factors'!N47</f>
        <v>0</v>
      </c>
      <c r="I49" s="44">
        <f>D49*'Monetized Values and Factors'!$O$34</f>
        <v>0</v>
      </c>
      <c r="J49" s="44">
        <f>E49*'Monetized Values and Factors'!$O$35</f>
        <v>0</v>
      </c>
      <c r="K49" s="44">
        <f>F49*'Monetized Values and Factors'!$O$36</f>
        <v>0</v>
      </c>
      <c r="L49" s="45">
        <f>G49*'Monetized Values and Factors'!$O$33</f>
        <v>0</v>
      </c>
    </row>
    <row r="50" spans="1:12" x14ac:dyDescent="0.25">
      <c r="A50" s="39">
        <v>2018</v>
      </c>
      <c r="B50" s="4">
        <f>('VMT Ton-Mile Driver Time'!N8/'Monetized Values and Factors'!M$24)+('VMT Ton-Mile Driver Time'!N51/'Monetized Values and Factors'!$M$25)</f>
        <v>0</v>
      </c>
      <c r="C50" s="203">
        <f>((('VMT Ton-Mile Driver Time'!$J8*'Emissions - Truck'!AA11)+('VMT Ton-Mile Driver Time'!$K8*'Emissions - Truck'!AS11)+('VMT Ton-Mile Driver Time'!$L8*'Emissions - Truck'!BB11))/1000000)+('VMT Ton-Mile Driver Time'!$N51*'Emissions - Rail'!$C$3/1000000)</f>
        <v>0</v>
      </c>
      <c r="D50" s="203">
        <f>((('VMT Ton-Mile Driver Time'!$J8*'Emissions - Truck'!AB11)+('VMT Ton-Mile Driver Time'!$K8*'Emissions - Truck'!AT11)+('VMT Ton-Mile Driver Time'!$L8*'Emissions - Truck'!BC11))/1000000)+('VMT Ton-Mile Driver Time'!$N51*'Emissions - Rail'!$D$3/1000000)</f>
        <v>0</v>
      </c>
      <c r="E50" s="203">
        <f>((('VMT Ton-Mile Driver Time'!$J8*'Emissions - Truck'!AC11)+('VMT Ton-Mile Driver Time'!$K8*'Emissions - Truck'!AU11)+('VMT Ton-Mile Driver Time'!$L8*'Emissions - Truck'!BD11))/1000000)+('VMT Ton-Mile Driver Time'!$N51*'Emissions - Rail'!$E$3/1000000)</f>
        <v>0</v>
      </c>
      <c r="F50" s="43">
        <f>((('VMT Ton-Mile Driver Time'!$J8*'Emissions - Truck'!AD11)+('VMT Ton-Mile Driver Time'!$K8*'Emissions - Truck'!AV11)+('VMT Ton-Mile Driver Time'!$L8*'Emissions - Truck'!BE11))/1000000)</f>
        <v>0</v>
      </c>
      <c r="G50" s="203">
        <f>((('VMT Ton-Mile Driver Time'!$J8*'Emissions - Truck'!AE11)+('VMT Ton-Mile Driver Time'!$K8*'Emissions - Truck'!AW11)+('VMT Ton-Mile Driver Time'!$L8*'Emissions - Truck'!BF11))/1000000)</f>
        <v>0</v>
      </c>
      <c r="H50" s="44">
        <f>C50*'Monetized Values and Factors'!N48</f>
        <v>0</v>
      </c>
      <c r="I50" s="44">
        <f>D50*'Monetized Values and Factors'!$O$34</f>
        <v>0</v>
      </c>
      <c r="J50" s="44">
        <f>E50*'Monetized Values and Factors'!$O$35</f>
        <v>0</v>
      </c>
      <c r="K50" s="44">
        <f>F50*'Monetized Values and Factors'!$O$36</f>
        <v>0</v>
      </c>
      <c r="L50" s="45">
        <f>G50*'Monetized Values and Factors'!$O$33</f>
        <v>0</v>
      </c>
    </row>
    <row r="51" spans="1:12" x14ac:dyDescent="0.25">
      <c r="A51" s="39">
        <v>2019</v>
      </c>
      <c r="B51" s="4">
        <f>('VMT Ton-Mile Driver Time'!N9/'Monetized Values and Factors'!M$24)+('VMT Ton-Mile Driver Time'!N52/'Monetized Values and Factors'!$M$25)</f>
        <v>0</v>
      </c>
      <c r="C51" s="203">
        <f>((('VMT Ton-Mile Driver Time'!$J9*'Emissions - Truck'!AA12)+('VMT Ton-Mile Driver Time'!$K9*'Emissions - Truck'!AS12)+('VMT Ton-Mile Driver Time'!$L9*'Emissions - Truck'!BB12))/1000000)+('VMT Ton-Mile Driver Time'!$N52*'Emissions - Rail'!$C$3/1000000)</f>
        <v>0</v>
      </c>
      <c r="D51" s="203">
        <f>((('VMT Ton-Mile Driver Time'!$J9*'Emissions - Truck'!AB12)+('VMT Ton-Mile Driver Time'!$K9*'Emissions - Truck'!AT12)+('VMT Ton-Mile Driver Time'!$L9*'Emissions - Truck'!BC12))/1000000)+('VMT Ton-Mile Driver Time'!$N52*'Emissions - Rail'!$D$3/1000000)</f>
        <v>0</v>
      </c>
      <c r="E51" s="203">
        <f>((('VMT Ton-Mile Driver Time'!$J9*'Emissions - Truck'!AC12)+('VMT Ton-Mile Driver Time'!$K9*'Emissions - Truck'!AU12)+('VMT Ton-Mile Driver Time'!$L9*'Emissions - Truck'!BD12))/1000000)+('VMT Ton-Mile Driver Time'!$N52*'Emissions - Rail'!$E$3/1000000)</f>
        <v>0</v>
      </c>
      <c r="F51" s="43">
        <f>((('VMT Ton-Mile Driver Time'!$J9*'Emissions - Truck'!AD12)+('VMT Ton-Mile Driver Time'!$K9*'Emissions - Truck'!AV12)+('VMT Ton-Mile Driver Time'!$L9*'Emissions - Truck'!BE12))/1000000)</f>
        <v>0</v>
      </c>
      <c r="G51" s="203">
        <f>((('VMT Ton-Mile Driver Time'!$J9*'Emissions - Truck'!AE12)+('VMT Ton-Mile Driver Time'!$K9*'Emissions - Truck'!AW12)+('VMT Ton-Mile Driver Time'!$L9*'Emissions - Truck'!BF12))/1000000)</f>
        <v>0</v>
      </c>
      <c r="H51" s="44">
        <f>C51*'Monetized Values and Factors'!N49</f>
        <v>0</v>
      </c>
      <c r="I51" s="44">
        <f>D51*'Monetized Values and Factors'!$O$34</f>
        <v>0</v>
      </c>
      <c r="J51" s="44">
        <f>E51*'Monetized Values and Factors'!$O$35</f>
        <v>0</v>
      </c>
      <c r="K51" s="44">
        <f>F51*'Monetized Values and Factors'!$O$36</f>
        <v>0</v>
      </c>
      <c r="L51" s="45">
        <f>G51*'Monetized Values and Factors'!$O$33</f>
        <v>0</v>
      </c>
    </row>
    <row r="52" spans="1:12" x14ac:dyDescent="0.25">
      <c r="A52" s="39">
        <v>2020</v>
      </c>
      <c r="B52" s="4">
        <f>('VMT Ton-Mile Driver Time'!N10/'Monetized Values and Factors'!M$24)+('VMT Ton-Mile Driver Time'!N53/'Monetized Values and Factors'!$M$25)</f>
        <v>0</v>
      </c>
      <c r="C52" s="203">
        <f>((('VMT Ton-Mile Driver Time'!$J10*'Emissions - Truck'!AA13)+('VMT Ton-Mile Driver Time'!$K10*'Emissions - Truck'!AS13)+('VMT Ton-Mile Driver Time'!$L10*'Emissions - Truck'!BB13))/1000000)+('VMT Ton-Mile Driver Time'!$N53*'Emissions - Rail'!$C$3/1000000)</f>
        <v>0</v>
      </c>
      <c r="D52" s="203">
        <f>((('VMT Ton-Mile Driver Time'!$J10*'Emissions - Truck'!AB13)+('VMT Ton-Mile Driver Time'!$K10*'Emissions - Truck'!AT13)+('VMT Ton-Mile Driver Time'!$L10*'Emissions - Truck'!BC13))/1000000)+('VMT Ton-Mile Driver Time'!$N53*'Emissions - Rail'!$D$3/1000000)</f>
        <v>0</v>
      </c>
      <c r="E52" s="203">
        <f>((('VMT Ton-Mile Driver Time'!$J10*'Emissions - Truck'!AC13)+('VMT Ton-Mile Driver Time'!$K10*'Emissions - Truck'!AU13)+('VMT Ton-Mile Driver Time'!$L10*'Emissions - Truck'!BD13))/1000000)+('VMT Ton-Mile Driver Time'!$N53*'Emissions - Rail'!$E$3/1000000)</f>
        <v>0</v>
      </c>
      <c r="F52" s="43">
        <f>((('VMT Ton-Mile Driver Time'!$J10*'Emissions - Truck'!AD13)+('VMT Ton-Mile Driver Time'!$K10*'Emissions - Truck'!AV13)+('VMT Ton-Mile Driver Time'!$L10*'Emissions - Truck'!BE13))/1000000)</f>
        <v>0</v>
      </c>
      <c r="G52" s="203">
        <f>((('VMT Ton-Mile Driver Time'!$J10*'Emissions - Truck'!AE13)+('VMT Ton-Mile Driver Time'!$K10*'Emissions - Truck'!AW13)+('VMT Ton-Mile Driver Time'!$L10*'Emissions - Truck'!BF13))/1000000)</f>
        <v>0</v>
      </c>
      <c r="H52" s="44">
        <f>C52*'Monetized Values and Factors'!N50</f>
        <v>0</v>
      </c>
      <c r="I52" s="44">
        <f>D52*'Monetized Values and Factors'!$O$34</f>
        <v>0</v>
      </c>
      <c r="J52" s="44">
        <f>E52*'Monetized Values and Factors'!$O$35</f>
        <v>0</v>
      </c>
      <c r="K52" s="44">
        <f>F52*'Monetized Values and Factors'!$O$36</f>
        <v>0</v>
      </c>
      <c r="L52" s="45">
        <f>G52*'Monetized Values and Factors'!$O$33</f>
        <v>0</v>
      </c>
    </row>
    <row r="53" spans="1:12" x14ac:dyDescent="0.25">
      <c r="A53" s="39">
        <v>2021</v>
      </c>
      <c r="B53" s="4">
        <f>('VMT Ton-Mile Driver Time'!N11/'Monetized Values and Factors'!M$24)+('VMT Ton-Mile Driver Time'!N54/'Monetized Values and Factors'!$M$25)</f>
        <v>0</v>
      </c>
      <c r="C53" s="203">
        <f>((('VMT Ton-Mile Driver Time'!$J11*'Emissions - Truck'!AA14)+('VMT Ton-Mile Driver Time'!$K11*'Emissions - Truck'!AS14)+('VMT Ton-Mile Driver Time'!$L11*'Emissions - Truck'!BB14))/1000000)+('VMT Ton-Mile Driver Time'!$N54*'Emissions - Rail'!$C$3/1000000)</f>
        <v>0</v>
      </c>
      <c r="D53" s="203">
        <f>((('VMT Ton-Mile Driver Time'!$J11*'Emissions - Truck'!AB14)+('VMT Ton-Mile Driver Time'!$K11*'Emissions - Truck'!AT14)+('VMT Ton-Mile Driver Time'!$L11*'Emissions - Truck'!BC14))/1000000)+('VMT Ton-Mile Driver Time'!$N54*'Emissions - Rail'!$D$3/1000000)</f>
        <v>0</v>
      </c>
      <c r="E53" s="203">
        <f>((('VMT Ton-Mile Driver Time'!$J11*'Emissions - Truck'!AC14)+('VMT Ton-Mile Driver Time'!$K11*'Emissions - Truck'!AU14)+('VMT Ton-Mile Driver Time'!$L11*'Emissions - Truck'!BD14))/1000000)+('VMT Ton-Mile Driver Time'!$N54*'Emissions - Rail'!$E$3/1000000)</f>
        <v>0</v>
      </c>
      <c r="F53" s="43">
        <f>((('VMT Ton-Mile Driver Time'!$J11*'Emissions - Truck'!AD14)+('VMT Ton-Mile Driver Time'!$K11*'Emissions - Truck'!AV14)+('VMT Ton-Mile Driver Time'!$L11*'Emissions - Truck'!BE14))/1000000)</f>
        <v>0</v>
      </c>
      <c r="G53" s="203">
        <f>((('VMT Ton-Mile Driver Time'!$J11*'Emissions - Truck'!AE14)+('VMT Ton-Mile Driver Time'!$K11*'Emissions - Truck'!AW14)+('VMT Ton-Mile Driver Time'!$L11*'Emissions - Truck'!BF14))/1000000)</f>
        <v>0</v>
      </c>
      <c r="H53" s="44">
        <f>C53*'Monetized Values and Factors'!N51</f>
        <v>0</v>
      </c>
      <c r="I53" s="44">
        <f>D53*'Monetized Values and Factors'!$O$34</f>
        <v>0</v>
      </c>
      <c r="J53" s="44">
        <f>E53*'Monetized Values and Factors'!$O$35</f>
        <v>0</v>
      </c>
      <c r="K53" s="44">
        <f>F53*'Monetized Values and Factors'!$O$36</f>
        <v>0</v>
      </c>
      <c r="L53" s="45">
        <f>G53*'Monetized Values and Factors'!$O$33</f>
        <v>0</v>
      </c>
    </row>
    <row r="54" spans="1:12" x14ac:dyDescent="0.25">
      <c r="A54" s="39">
        <v>2022</v>
      </c>
      <c r="B54" s="4">
        <f>('VMT Ton-Mile Driver Time'!N12/'Monetized Values and Factors'!M$24)+('VMT Ton-Mile Driver Time'!N55/'Monetized Values and Factors'!$M$25)</f>
        <v>2320047.9147097254</v>
      </c>
      <c r="C54" s="203">
        <f>((('VMT Ton-Mile Driver Time'!$J12*'Emissions - Truck'!AA15)+('VMT Ton-Mile Driver Time'!$K12*'Emissions - Truck'!AS15)+('VMT Ton-Mile Driver Time'!$L12*'Emissions - Truck'!BB15))/1000000)+('VMT Ton-Mile Driver Time'!$N55*'Emissions - Rail'!$C$3/1000000)</f>
        <v>11545.570879929201</v>
      </c>
      <c r="D54" s="203">
        <f>((('VMT Ton-Mile Driver Time'!$J12*'Emissions - Truck'!AB15)+('VMT Ton-Mile Driver Time'!$K12*'Emissions - Truck'!AT15)+('VMT Ton-Mile Driver Time'!$L12*'Emissions - Truck'!BC15))/1000000)+('VMT Ton-Mile Driver Time'!$N55*'Emissions - Rail'!$D$3/1000000)</f>
        <v>143.98520457012324</v>
      </c>
      <c r="E54" s="203">
        <f>((('VMT Ton-Mile Driver Time'!$J12*'Emissions - Truck'!AC15)+('VMT Ton-Mile Driver Time'!$K12*'Emissions - Truck'!AU15)+('VMT Ton-Mile Driver Time'!$L12*'Emissions - Truck'!BD15))/1000000)+('VMT Ton-Mile Driver Time'!$N55*'Emissions - Rail'!$E$3/1000000)</f>
        <v>3.9735473716538268</v>
      </c>
      <c r="F54" s="43">
        <f>((('VMT Ton-Mile Driver Time'!$J12*'Emissions - Truck'!AD15)+('VMT Ton-Mile Driver Time'!$K12*'Emissions - Truck'!AV15)+('VMT Ton-Mile Driver Time'!$L12*'Emissions - Truck'!BE15))/1000000)</f>
        <v>4.6917990238404303E-2</v>
      </c>
      <c r="G54" s="203">
        <f>((('VMT Ton-Mile Driver Time'!$J12*'Emissions - Truck'!AE15)+('VMT Ton-Mile Driver Time'!$K12*'Emissions - Truck'!AW15)+('VMT Ton-Mile Driver Time'!$L12*'Emissions - Truck'!BF15))/1000000)</f>
        <v>0.29907373968306267</v>
      </c>
      <c r="H54" s="44">
        <f>C54*'Monetized Values and Factors'!N52</f>
        <v>0</v>
      </c>
      <c r="I54" s="44">
        <f>D54*'Monetized Values and Factors'!$O$34</f>
        <v>1190766.5688776025</v>
      </c>
      <c r="J54" s="44">
        <f>E54*'Monetized Values and Factors'!$O$35</f>
        <v>1503198.3866417101</v>
      </c>
      <c r="K54" s="44">
        <f>F54*'Monetized Values and Factors'!$O$36</f>
        <v>2293.2040169048587</v>
      </c>
      <c r="L54" s="45">
        <f>G54*'Monetized Values and Factors'!$O$33</f>
        <v>627.5636247170022</v>
      </c>
    </row>
    <row r="55" spans="1:12" x14ac:dyDescent="0.25">
      <c r="A55" s="39">
        <v>2023</v>
      </c>
      <c r="B55" s="4">
        <f>('VMT Ton-Mile Driver Time'!N13/'Monetized Values and Factors'!M$24)+('VMT Ton-Mile Driver Time'!N56/'Monetized Values and Factors'!$M$25)</f>
        <v>4640095.8294194508</v>
      </c>
      <c r="C55" s="203">
        <f>((('VMT Ton-Mile Driver Time'!$J13*'Emissions - Truck'!AA16)+('VMT Ton-Mile Driver Time'!$K13*'Emissions - Truck'!AS16)+('VMT Ton-Mile Driver Time'!$L13*'Emissions - Truck'!BB16))/1000000)+('VMT Ton-Mile Driver Time'!$N56*'Emissions - Rail'!$C$3/1000000)</f>
        <v>23021.520615164718</v>
      </c>
      <c r="D55" s="203">
        <f>((('VMT Ton-Mile Driver Time'!$J13*'Emissions - Truck'!AB16)+('VMT Ton-Mile Driver Time'!$K13*'Emissions - Truck'!AT16)+('VMT Ton-Mile Driver Time'!$L13*'Emissions - Truck'!BC16))/1000000)+('VMT Ton-Mile Driver Time'!$N56*'Emissions - Rail'!$D$3/1000000)</f>
        <v>286.85921756601653</v>
      </c>
      <c r="E55" s="203">
        <f>((('VMT Ton-Mile Driver Time'!$J13*'Emissions - Truck'!AC16)+('VMT Ton-Mile Driver Time'!$K13*'Emissions - Truck'!AU16)+('VMT Ton-Mile Driver Time'!$L13*'Emissions - Truck'!BD16))/1000000)+('VMT Ton-Mile Driver Time'!$N56*'Emissions - Rail'!$E$3/1000000)</f>
        <v>7.9309777433958084</v>
      </c>
      <c r="F55" s="43">
        <f>((('VMT Ton-Mile Driver Time'!$J13*'Emissions - Truck'!AD16)+('VMT Ton-Mile Driver Time'!$K13*'Emissions - Truck'!AV16)+('VMT Ton-Mile Driver Time'!$L13*'Emissions - Truck'!BE16))/1000000)</f>
        <v>9.3096506110117203E-2</v>
      </c>
      <c r="G55" s="203">
        <f>((('VMT Ton-Mile Driver Time'!$J13*'Emissions - Truck'!AE16)+('VMT Ton-Mile Driver Time'!$K13*'Emissions - Truck'!AW16)+('VMT Ton-Mile Driver Time'!$L13*'Emissions - Truck'!BF16))/1000000)</f>
        <v>0.55004410710630003</v>
      </c>
      <c r="H55" s="44">
        <f>C55*'Monetized Values and Factors'!N53</f>
        <v>0</v>
      </c>
      <c r="I55" s="44">
        <f>D55*'Monetized Values and Factors'!$O$34</f>
        <v>2372343.5145424455</v>
      </c>
      <c r="J55" s="44">
        <f>E55*'Monetized Values and Factors'!$O$35</f>
        <v>3000299.6902492982</v>
      </c>
      <c r="K55" s="44">
        <f>F55*'Monetized Values and Factors'!$O$36</f>
        <v>4550.2648490850897</v>
      </c>
      <c r="L55" s="45">
        <f>G55*'Monetized Values and Factors'!$O$33</f>
        <v>1154.189177477308</v>
      </c>
    </row>
    <row r="56" spans="1:12" x14ac:dyDescent="0.25">
      <c r="A56" s="39">
        <v>2024</v>
      </c>
      <c r="B56" s="4">
        <f>('VMT Ton-Mile Driver Time'!N14/'Monetized Values and Factors'!M$24)+('VMT Ton-Mile Driver Time'!N57/'Monetized Values and Factors'!$M$25)</f>
        <v>6960143.7441291753</v>
      </c>
      <c r="C56" s="203">
        <f>((('VMT Ton-Mile Driver Time'!$J14*'Emissions - Truck'!AA17)+('VMT Ton-Mile Driver Time'!$K14*'Emissions - Truck'!AS17)+('VMT Ton-Mile Driver Time'!$L14*'Emissions - Truck'!BB17))/1000000)+('VMT Ton-Mile Driver Time'!$N57*'Emissions - Rail'!$C$3/1000000)</f>
        <v>34428.742109456885</v>
      </c>
      <c r="D56" s="203">
        <f>((('VMT Ton-Mile Driver Time'!$J14*'Emissions - Truck'!AB17)+('VMT Ton-Mile Driver Time'!$K14*'Emissions - Truck'!AT17)+('VMT Ton-Mile Driver Time'!$L14*'Emissions - Truck'!BC17))/1000000)+('VMT Ton-Mile Driver Time'!$N57*'Emissions - Rail'!$D$3/1000000)</f>
        <v>428.7985536506053</v>
      </c>
      <c r="E56" s="203">
        <f>((('VMT Ton-Mile Driver Time'!$J14*'Emissions - Truck'!AC17)+('VMT Ton-Mile Driver Time'!$K14*'Emissions - Truck'!AU17)+('VMT Ton-Mile Driver Time'!$L14*'Emissions - Truck'!BD17))/1000000)+('VMT Ton-Mile Driver Time'!$N57*'Emissions - Rail'!$E$3/1000000)</f>
        <v>11.874909255383487</v>
      </c>
      <c r="F56" s="43">
        <f>((('VMT Ton-Mile Driver Time'!$J14*'Emissions - Truck'!AD17)+('VMT Ton-Mile Driver Time'!$K14*'Emissions - Truck'!AV17)+('VMT Ton-Mile Driver Time'!$L14*'Emissions - Truck'!BE17))/1000000)</f>
        <v>0.13854573559051944</v>
      </c>
      <c r="G56" s="203">
        <f>((('VMT Ton-Mile Driver Time'!$J14*'Emissions - Truck'!AE17)+('VMT Ton-Mile Driver Time'!$K14*'Emissions - Truck'!AW17)+('VMT Ton-Mile Driver Time'!$L14*'Emissions - Truck'!BF17))/1000000)</f>
        <v>0.75873057940907052</v>
      </c>
      <c r="H56" s="44">
        <f>C56*'Monetized Values and Factors'!N54</f>
        <v>0</v>
      </c>
      <c r="I56" s="44">
        <f>D56*'Monetized Values and Factors'!$O$34</f>
        <v>3546190.6242008321</v>
      </c>
      <c r="J56" s="44">
        <f>E56*'Monetized Values and Factors'!$O$35</f>
        <v>4492294.3568128878</v>
      </c>
      <c r="K56" s="44">
        <f>F56*'Monetized Values and Factors'!$O$36</f>
        <v>6771.6804527819677</v>
      </c>
      <c r="L56" s="45">
        <f>G56*'Monetized Values and Factors'!$O$33</f>
        <v>1592.0880017823688</v>
      </c>
    </row>
    <row r="57" spans="1:12" x14ac:dyDescent="0.25">
      <c r="A57" s="39">
        <v>2025</v>
      </c>
      <c r="B57" s="4">
        <f>('VMT Ton-Mile Driver Time'!N15/'Monetized Values and Factors'!M$24)+('VMT Ton-Mile Driver Time'!N58/'Monetized Values and Factors'!$M$25)</f>
        <v>9280191.6588389017</v>
      </c>
      <c r="C57" s="203">
        <f>((('VMT Ton-Mile Driver Time'!$J15*'Emissions - Truck'!AA18)+('VMT Ton-Mile Driver Time'!$K15*'Emissions - Truck'!AS18)+('VMT Ton-Mile Driver Time'!$L15*'Emissions - Truck'!BB18))/1000000)+('VMT Ton-Mile Driver Time'!$N58*'Emissions - Rail'!$C$3/1000000)</f>
        <v>45768.1175765761</v>
      </c>
      <c r="D57" s="203">
        <f>((('VMT Ton-Mile Driver Time'!$J15*'Emissions - Truck'!AB18)+('VMT Ton-Mile Driver Time'!$K15*'Emissions - Truck'!AT18)+('VMT Ton-Mile Driver Time'!$L15*'Emissions - Truck'!BC18))/1000000)+('VMT Ton-Mile Driver Time'!$N58*'Emissions - Rail'!$D$3/1000000)</f>
        <v>569.95480304578234</v>
      </c>
      <c r="E57" s="203">
        <f>((('VMT Ton-Mile Driver Time'!$J15*'Emissions - Truck'!AC18)+('VMT Ton-Mile Driver Time'!$K15*'Emissions - Truck'!AU18)+('VMT Ton-Mile Driver Time'!$L15*'Emissions - Truck'!BD18))/1000000)+('VMT Ton-Mile Driver Time'!$N58*'Emissions - Rail'!$E$3/1000000)</f>
        <v>15.807581192738059</v>
      </c>
      <c r="F57" s="43">
        <f>((('VMT Ton-Mile Driver Time'!$J15*'Emissions - Truck'!AD18)+('VMT Ton-Mile Driver Time'!$K15*'Emissions - Truck'!AV18)+('VMT Ton-Mile Driver Time'!$L15*'Emissions - Truck'!BE18))/1000000)</f>
        <v>0.18327573569021677</v>
      </c>
      <c r="G57" s="203">
        <f>((('VMT Ton-Mile Driver Time'!$J15*'Emissions - Truck'!AE18)+('VMT Ton-Mile Driver Time'!$K15*'Emissions - Truck'!AW18)+('VMT Ton-Mile Driver Time'!$L15*'Emissions - Truck'!BF18))/1000000)</f>
        <v>0.93032512803516609</v>
      </c>
      <c r="H57" s="44">
        <f>C57*'Monetized Values and Factors'!N55</f>
        <v>0</v>
      </c>
      <c r="I57" s="44">
        <f>D57*'Monetized Values and Factors'!$O$34</f>
        <v>4713561.5583864087</v>
      </c>
      <c r="J57" s="44">
        <f>E57*'Monetized Values and Factors'!$O$35</f>
        <v>5980029.510945973</v>
      </c>
      <c r="K57" s="44">
        <f>F57*'Monetized Values and Factors'!$O$36</f>
        <v>8957.9423830898595</v>
      </c>
      <c r="L57" s="45">
        <f>G57*'Monetized Values and Factors'!$O$33</f>
        <v>1952.1547098510512</v>
      </c>
    </row>
    <row r="58" spans="1:12" x14ac:dyDescent="0.25">
      <c r="A58" s="39">
        <v>2026</v>
      </c>
      <c r="B58" s="4">
        <f>('VMT Ton-Mile Driver Time'!N16/'Monetized Values and Factors'!M$24)+('VMT Ton-Mile Driver Time'!N59/'Monetized Values and Factors'!$M$25)</f>
        <v>11600239.573548626</v>
      </c>
      <c r="C58" s="203">
        <f>((('VMT Ton-Mile Driver Time'!$J16*'Emissions - Truck'!AA19)+('VMT Ton-Mile Driver Time'!$K16*'Emissions - Truck'!AS19)+('VMT Ton-Mile Driver Time'!$L16*'Emissions - Truck'!BB19))/1000000)+('VMT Ton-Mile Driver Time'!$N59*'Emissions - Rail'!$C$3/1000000)</f>
        <v>57040.518661898881</v>
      </c>
      <c r="D58" s="203">
        <f>((('VMT Ton-Mile Driver Time'!$J16*'Emissions - Truck'!AB19)+('VMT Ton-Mile Driver Time'!$K16*'Emissions - Truck'!AT19)+('VMT Ton-Mile Driver Time'!$L16*'Emissions - Truck'!BC19))/1000000)+('VMT Ton-Mile Driver Time'!$N59*'Emissions - Rail'!$D$3/1000000)</f>
        <v>710.45793102152049</v>
      </c>
      <c r="E58" s="203">
        <f>((('VMT Ton-Mile Driver Time'!$J16*'Emissions - Truck'!AC19)+('VMT Ton-Mile Driver Time'!$K16*'Emissions - Truck'!AU19)+('VMT Ton-Mile Driver Time'!$L16*'Emissions - Truck'!BD19))/1000000)+('VMT Ton-Mile Driver Time'!$N59*'Emissions - Rail'!$E$3/1000000)</f>
        <v>19.730905492868018</v>
      </c>
      <c r="F58" s="43">
        <f>((('VMT Ton-Mile Driver Time'!$J16*'Emissions - Truck'!AD19)+('VMT Ton-Mile Driver Time'!$K16*'Emissions - Truck'!AV19)+('VMT Ton-Mile Driver Time'!$L16*'Emissions - Truck'!BE19))/1000000)</f>
        <v>0.22729643405508762</v>
      </c>
      <c r="G58" s="203">
        <f>((('VMT Ton-Mile Driver Time'!$J16*'Emissions - Truck'!AE19)+('VMT Ton-Mile Driver Time'!$K16*'Emissions - Truck'!AW19)+('VMT Ton-Mile Driver Time'!$L16*'Emissions - Truck'!BF19))/1000000)</f>
        <v>1.0694558142655548</v>
      </c>
      <c r="H58" s="44">
        <f>C58*'Monetized Values and Factors'!N56</f>
        <v>0</v>
      </c>
      <c r="I58" s="44">
        <f>D58*'Monetized Values and Factors'!$O$34</f>
        <v>5875531.1379396981</v>
      </c>
      <c r="J58" s="44">
        <f>E58*'Monetized Values and Factors'!$O$35</f>
        <v>7464228.4411761574</v>
      </c>
      <c r="K58" s="44">
        <f>F58*'Monetized Values and Factors'!$O$36</f>
        <v>11109.535872161532</v>
      </c>
      <c r="L58" s="45">
        <f>G58*'Monetized Values and Factors'!$O$33</f>
        <v>2244.100628782734</v>
      </c>
    </row>
    <row r="59" spans="1:12" x14ac:dyDescent="0.25">
      <c r="A59" s="39">
        <v>2027</v>
      </c>
      <c r="B59" s="4">
        <f>('VMT Ton-Mile Driver Time'!N17/'Monetized Values and Factors'!M$24)+('VMT Ton-Mile Driver Time'!N60/'Monetized Values and Factors'!$M$25)</f>
        <v>13920287.488258351</v>
      </c>
      <c r="C59" s="203">
        <f>((('VMT Ton-Mile Driver Time'!$J17*'Emissions - Truck'!AA20)+('VMT Ton-Mile Driver Time'!$K17*'Emissions - Truck'!AS20)+('VMT Ton-Mile Driver Time'!$L17*'Emissions - Truck'!BB20))/1000000)+('VMT Ton-Mile Driver Time'!$N60*'Emissions - Rail'!$C$3/1000000)</f>
        <v>68246.806562661353</v>
      </c>
      <c r="D59" s="203">
        <f>((('VMT Ton-Mile Driver Time'!$J17*'Emissions - Truck'!AB20)+('VMT Ton-Mile Driver Time'!$K17*'Emissions - Truck'!AT20)+('VMT Ton-Mile Driver Time'!$L17*'Emissions - Truck'!BC20))/1000000)+('VMT Ton-Mile Driver Time'!$N60*'Emissions - Rail'!$D$3/1000000)</f>
        <v>850.41915806592772</v>
      </c>
      <c r="E59" s="203">
        <f>((('VMT Ton-Mile Driver Time'!$J17*'Emissions - Truck'!AC20)+('VMT Ton-Mile Driver Time'!$K17*'Emissions - Truck'!AU20)+('VMT Ton-Mile Driver Time'!$L17*'Emissions - Truck'!BD20))/1000000)+('VMT Ton-Mile Driver Time'!$N60*'Emissions - Rail'!$E$3/1000000)</f>
        <v>23.646511515315016</v>
      </c>
      <c r="F59" s="43">
        <f>((('VMT Ton-Mile Driver Time'!$J17*'Emissions - Truck'!AD20)+('VMT Ton-Mile Driver Time'!$K17*'Emissions - Truck'!AV20)+('VMT Ton-Mile Driver Time'!$L17*'Emissions - Truck'!BE20))/1000000)</f>
        <v>0.27061763054749055</v>
      </c>
      <c r="G59" s="203">
        <f>((('VMT Ton-Mile Driver Time'!$J17*'Emissions - Truck'!AE20)+('VMT Ton-Mile Driver Time'!$K17*'Emissions - Truck'!AW20)+('VMT Ton-Mile Driver Time'!$L17*'Emissions - Truck'!BF20))/1000000)</f>
        <v>1.180244182684185</v>
      </c>
      <c r="H59" s="44">
        <f>C59*'Monetized Values and Factors'!N57</f>
        <v>0</v>
      </c>
      <c r="I59" s="44">
        <f>D59*'Monetized Values and Factors'!$O$34</f>
        <v>7033019.1631930219</v>
      </c>
      <c r="J59" s="44">
        <f>E59*'Monetized Values and Factors'!$O$35</f>
        <v>8945507.5364388656</v>
      </c>
      <c r="K59" s="44">
        <f>F59*'Monetized Values and Factors'!$O$36</f>
        <v>13226.939906492604</v>
      </c>
      <c r="L59" s="45">
        <f>G59*'Monetized Values and Factors'!$O$33</f>
        <v>2476.5742325667297</v>
      </c>
    </row>
    <row r="60" spans="1:12" x14ac:dyDescent="0.25">
      <c r="A60" s="39">
        <v>2028</v>
      </c>
      <c r="B60" s="4">
        <f>('VMT Ton-Mile Driver Time'!N18/'Monetized Values and Factors'!M$24)+('VMT Ton-Mile Driver Time'!N61/'Monetized Values and Factors'!$M$25)</f>
        <v>18560383.317677803</v>
      </c>
      <c r="C60" s="203">
        <f>((('VMT Ton-Mile Driver Time'!$J18*'Emissions - Truck'!AA21)+('VMT Ton-Mile Driver Time'!$K18*'Emissions - Truck'!AS21)+('VMT Ton-Mile Driver Time'!$L18*'Emissions - Truck'!BB21))/1000000)+('VMT Ton-Mile Driver Time'!$N61*'Emissions - Rail'!$C$3/1000000)</f>
        <v>90728.951025021845</v>
      </c>
      <c r="D60" s="203">
        <f>((('VMT Ton-Mile Driver Time'!$J18*'Emissions - Truck'!AB21)+('VMT Ton-Mile Driver Time'!$K18*'Emissions - Truck'!AT21)+('VMT Ton-Mile Driver Time'!$L18*'Emissions - Truck'!BC21))/1000000)+('VMT Ton-Mile Driver Time'!$N61*'Emissions - Rail'!$D$3/1000000)</f>
        <v>1131.3525400528304</v>
      </c>
      <c r="E60" s="203">
        <f>((('VMT Ton-Mile Driver Time'!$J18*'Emissions - Truck'!AC21)+('VMT Ton-Mile Driver Time'!$K18*'Emissions - Truck'!AU21)+('VMT Ton-Mile Driver Time'!$L18*'Emissions - Truck'!BD21))/1000000)+('VMT Ton-Mile Driver Time'!$N61*'Emissions - Rail'!$E$3/1000000)</f>
        <v>31.492325637564306</v>
      </c>
      <c r="F60" s="43">
        <f>((('VMT Ton-Mile Driver Time'!$J18*'Emissions - Truck'!AD21)+('VMT Ton-Mile Driver Time'!$K18*'Emissions - Truck'!AV21)+('VMT Ton-Mile Driver Time'!$L18*'Emissions - Truck'!BE21))/1000000)</f>
        <v>0.35799885578153962</v>
      </c>
      <c r="G60" s="203">
        <f>((('VMT Ton-Mile Driver Time'!$J18*'Emissions - Truck'!AE21)+('VMT Ton-Mile Driver Time'!$K18*'Emissions - Truck'!AW21)+('VMT Ton-Mile Driver Time'!$L18*'Emissions - Truck'!BF21))/1000000)</f>
        <v>1.4472651907650789</v>
      </c>
      <c r="H60" s="44">
        <f>C60*'Monetized Values and Factors'!N58</f>
        <v>0</v>
      </c>
      <c r="I60" s="44">
        <f>D60*'Monetized Values and Factors'!$O$34</f>
        <v>9356355.6500943899</v>
      </c>
      <c r="J60" s="44">
        <f>E60*'Monetized Values and Factors'!$O$35</f>
        <v>11913589.712730419</v>
      </c>
      <c r="K60" s="44">
        <f>F60*'Monetized Values and Factors'!$O$36</f>
        <v>17497.859775195073</v>
      </c>
      <c r="L60" s="45">
        <f>G60*'Monetized Values and Factors'!$O$33</f>
        <v>3036.8797675308342</v>
      </c>
    </row>
    <row r="61" spans="1:12" x14ac:dyDescent="0.25">
      <c r="A61" s="39">
        <v>2029</v>
      </c>
      <c r="B61" s="4">
        <f>('VMT Ton-Mile Driver Time'!N19/'Monetized Values and Factors'!M$24)+('VMT Ton-Mile Driver Time'!N62/'Monetized Values and Factors'!$M$25)</f>
        <v>23200479.147097252</v>
      </c>
      <c r="C61" s="203">
        <f>((('VMT Ton-Mile Driver Time'!$J19*'Emissions - Truck'!AA22)+('VMT Ton-Mile Driver Time'!$K19*'Emissions - Truck'!AS22)+('VMT Ton-Mile Driver Time'!$L19*'Emissions - Truck'!BB22))/1000000)+('VMT Ton-Mile Driver Time'!$N62*'Emissions - Rail'!$C$3/1000000)</f>
        <v>113080.54508881542</v>
      </c>
      <c r="D61" s="203">
        <f>((('VMT Ton-Mile Driver Time'!$J19*'Emissions - Truck'!AB22)+('VMT Ton-Mile Driver Time'!$K19*'Emissions - Truck'!AT22)+('VMT Ton-Mile Driver Time'!$L19*'Emissions - Truck'!BC22))/1000000)+('VMT Ton-Mile Driver Time'!$N62*'Emissions - Rail'!$D$3/1000000)</f>
        <v>1411.3522767496329</v>
      </c>
      <c r="E61" s="203">
        <f>((('VMT Ton-Mile Driver Time'!$J19*'Emissions - Truck'!AC22)+('VMT Ton-Mile Driver Time'!$K19*'Emissions - Truck'!AU22)+('VMT Ton-Mile Driver Time'!$L19*'Emissions - Truck'!BD22))/1000000)+('VMT Ton-Mile Driver Time'!$N62*'Emissions - Rail'!$E$3/1000000)</f>
        <v>39.324876869043244</v>
      </c>
      <c r="F61" s="43">
        <f>((('VMT Ton-Mile Driver Time'!$J19*'Emissions - Truck'!AD22)+('VMT Ton-Mile Driver Time'!$K19*'Emissions - Truck'!AV22)+('VMT Ton-Mile Driver Time'!$L19*'Emissions - Truck'!BE22))/1000000)</f>
        <v>0.444000109754767</v>
      </c>
      <c r="G61" s="203">
        <f>((('VMT Ton-Mile Driver Time'!$J19*'Emissions - Truck'!AE22)+('VMT Ton-Mile Driver Time'!$K19*'Emissions - Truck'!AW22)+('VMT Ton-Mile Driver Time'!$L19*'Emissions - Truck'!BF22))/1000000)</f>
        <v>1.6638164587919395</v>
      </c>
      <c r="H61" s="44">
        <f>C61*'Monetized Values and Factors'!N59</f>
        <v>0</v>
      </c>
      <c r="I61" s="44">
        <f>D61*'Monetized Values and Factors'!$O$34</f>
        <v>11671970.832560623</v>
      </c>
      <c r="J61" s="44">
        <f>E61*'Monetized Values and Factors'!$O$35</f>
        <v>14876654.519366231</v>
      </c>
      <c r="K61" s="44">
        <f>F61*'Monetized Values and Factors'!$O$36</f>
        <v>21701.330982468327</v>
      </c>
      <c r="L61" s="45">
        <f>G61*'Monetized Values and Factors'!$O$33</f>
        <v>3491.2817449295071</v>
      </c>
    </row>
    <row r="62" spans="1:12" x14ac:dyDescent="0.25">
      <c r="A62" s="39">
        <v>2030</v>
      </c>
      <c r="B62" s="4">
        <f>('VMT Ton-Mile Driver Time'!N20/'Monetized Values and Factors'!M$24)+('VMT Ton-Mile Driver Time'!N63/'Monetized Values and Factors'!$M$25)</f>
        <v>27840574.976516701</v>
      </c>
      <c r="C62" s="203">
        <f>((('VMT Ton-Mile Driver Time'!$J20*'Emissions - Truck'!AA23)+('VMT Ton-Mile Driver Time'!$K20*'Emissions - Truck'!AS23)+('VMT Ton-Mile Driver Time'!$L20*'Emissions - Truck'!BB23))/1000000)+('VMT Ton-Mile Driver Time'!$N63*'Emissions - Rail'!$C$3/1000000)</f>
        <v>135303.26519514102</v>
      </c>
      <c r="D62" s="203">
        <f>((('VMT Ton-Mile Driver Time'!$J20*'Emissions - Truck'!AB23)+('VMT Ton-Mile Driver Time'!$K20*'Emissions - Truck'!AT23)+('VMT Ton-Mile Driver Time'!$L20*'Emissions - Truck'!BC23))/1000000)+('VMT Ton-Mile Driver Time'!$N63*'Emissions - Rail'!$D$3/1000000)</f>
        <v>1690.5773584932165</v>
      </c>
      <c r="E62" s="203">
        <f>((('VMT Ton-Mile Driver Time'!$J20*'Emissions - Truck'!AC23)+('VMT Ton-Mile Driver Time'!$K20*'Emissions - Truck'!AU23)+('VMT Ton-Mile Driver Time'!$L20*'Emissions - Truck'!BD23))/1000000)+('VMT Ton-Mile Driver Time'!$N63*'Emissions - Rail'!$E$3/1000000)</f>
        <v>47.14647509645561</v>
      </c>
      <c r="F62" s="43">
        <f>((('VMT Ton-Mile Driver Time'!$J20*'Emissions - Truck'!AD23)+('VMT Ton-Mile Driver Time'!$K20*'Emissions - Truck'!AV23)+('VMT Ton-Mile Driver Time'!$L20*'Emissions - Truck'!BE23))/1000000)</f>
        <v>0.52864043112833725</v>
      </c>
      <c r="G62" s="203">
        <f>((('VMT Ton-Mile Driver Time'!$J20*'Emissions - Truck'!AE23)+('VMT Ton-Mile Driver Time'!$K20*'Emissions - Truck'!AW23)+('VMT Ton-Mile Driver Time'!$L20*'Emissions - Truck'!BF23))/1000000)</f>
        <v>1.836300544024676</v>
      </c>
      <c r="H62" s="44">
        <f>C62*'Monetized Values and Factors'!N60</f>
        <v>0</v>
      </c>
      <c r="I62" s="44">
        <f>D62*'Monetized Values and Factors'!$O$34</f>
        <v>13981179.570535127</v>
      </c>
      <c r="J62" s="44">
        <f>E62*'Monetized Values and Factors'!$O$35</f>
        <v>17835575.789634712</v>
      </c>
      <c r="K62" s="44">
        <f>F62*'Monetized Values and Factors'!$O$36</f>
        <v>25838.284078279165</v>
      </c>
      <c r="L62" s="45">
        <f>G62*'Monetized Values and Factors'!$O$33</f>
        <v>3853.2150188082592</v>
      </c>
    </row>
    <row r="63" spans="1:12" x14ac:dyDescent="0.25">
      <c r="A63" s="39">
        <v>2031</v>
      </c>
      <c r="B63" s="4">
        <f>('VMT Ton-Mile Driver Time'!N21/'Monetized Values and Factors'!M$24)+('VMT Ton-Mile Driver Time'!N64/'Monetized Values and Factors'!$M$25)</f>
        <v>33872699.554761991</v>
      </c>
      <c r="C63" s="203">
        <f>((('VMT Ton-Mile Driver Time'!$J21*'Emissions - Truck'!AA24)+('VMT Ton-Mile Driver Time'!$K21*'Emissions - Truck'!AS24)+('VMT Ton-Mile Driver Time'!$L21*'Emissions - Truck'!BB24))/1000000)+('VMT Ton-Mile Driver Time'!$N64*'Emissions - Rail'!$C$3/1000000)</f>
        <v>164144.4291576235</v>
      </c>
      <c r="D63" s="203">
        <f>((('VMT Ton-Mile Driver Time'!$J21*'Emissions - Truck'!AB24)+('VMT Ton-Mile Driver Time'!$K21*'Emissions - Truck'!AT24)+('VMT Ton-Mile Driver Time'!$L21*'Emissions - Truck'!BC24))/1000000)+('VMT Ton-Mile Driver Time'!$N64*'Emissions - Rail'!$D$3/1000000)</f>
        <v>2053.5562963206485</v>
      </c>
      <c r="E63" s="203">
        <f>((('VMT Ton-Mile Driver Time'!$J21*'Emissions - Truck'!AC24)+('VMT Ton-Mile Driver Time'!$K21*'Emissions - Truck'!AU24)+('VMT Ton-Mile Driver Time'!$L21*'Emissions - Truck'!BD24))/1000000)+('VMT Ton-Mile Driver Time'!$N64*'Emissions - Rail'!$E$3/1000000)</f>
        <v>57.314474380673154</v>
      </c>
      <c r="F63" s="43">
        <f>((('VMT Ton-Mile Driver Time'!$J21*'Emissions - Truck'!AD24)+('VMT Ton-Mile Driver Time'!$K21*'Emissions - Truck'!AV24)+('VMT Ton-Mile Driver Time'!$L21*'Emissions - Truck'!BE24))/1000000)</f>
        <v>0.63816455402653516</v>
      </c>
      <c r="G63" s="203">
        <f>((('VMT Ton-Mile Driver Time'!$J21*'Emissions - Truck'!AE24)+('VMT Ton-Mile Driver Time'!$K21*'Emissions - Truck'!AW24)+('VMT Ton-Mile Driver Time'!$L21*'Emissions - Truck'!BF24))/1000000)</f>
        <v>2.0548604195683882</v>
      </c>
      <c r="H63" s="44">
        <f>C63*'Monetized Values and Factors'!N61</f>
        <v>0</v>
      </c>
      <c r="I63" s="44">
        <f>D63*'Monetized Values and Factors'!$O$34</f>
        <v>16983037.891062133</v>
      </c>
      <c r="J63" s="44">
        <f>E63*'Monetized Values and Factors'!$O$35</f>
        <v>21682143.777837232</v>
      </c>
      <c r="K63" s="44">
        <f>F63*'Monetized Values and Factors'!$O$36</f>
        <v>31191.479245035116</v>
      </c>
      <c r="L63" s="45">
        <f>G63*'Monetized Values and Factors'!$O$33</f>
        <v>4311.8317728544744</v>
      </c>
    </row>
    <row r="64" spans="1:12" x14ac:dyDescent="0.25">
      <c r="A64" s="39">
        <v>2032</v>
      </c>
      <c r="B64" s="4">
        <f>('VMT Ton-Mile Driver Time'!N22/'Monetized Values and Factors'!M$24)+('VMT Ton-Mile Driver Time'!N65/'Monetized Values and Factors'!$M$25)</f>
        <v>33872699.554761991</v>
      </c>
      <c r="C64" s="203">
        <f>((('VMT Ton-Mile Driver Time'!$J22*'Emissions - Truck'!AA25)+('VMT Ton-Mile Driver Time'!$K22*'Emissions - Truck'!AS25)+('VMT Ton-Mile Driver Time'!$L22*'Emissions - Truck'!BB25))/1000000)+('VMT Ton-Mile Driver Time'!$N65*'Emissions - Rail'!$C$3/1000000)</f>
        <v>163673.92873999407</v>
      </c>
      <c r="D64" s="203">
        <f>((('VMT Ton-Mile Driver Time'!$J22*'Emissions - Truck'!AB25)+('VMT Ton-Mile Driver Time'!$K22*'Emissions - Truck'!AT25)+('VMT Ton-Mile Driver Time'!$L22*'Emissions - Truck'!BC25))/1000000)+('VMT Ton-Mile Driver Time'!$N65*'Emissions - Rail'!$D$3/1000000)</f>
        <v>2050.5943008009381</v>
      </c>
      <c r="E64" s="203">
        <f>((('VMT Ton-Mile Driver Time'!$J22*'Emissions - Truck'!AC25)+('VMT Ton-Mile Driver Time'!$K22*'Emissions - Truck'!AU25)+('VMT Ton-Mile Driver Time'!$L22*'Emissions - Truck'!BD25))/1000000)+('VMT Ton-Mile Driver Time'!$N65*'Emissions - Rail'!$E$3/1000000)</f>
        <v>57.272491232438782</v>
      </c>
      <c r="F64" s="43">
        <f>((('VMT Ton-Mile Driver Time'!$J22*'Emissions - Truck'!AD25)+('VMT Ton-Mile Driver Time'!$K22*'Emissions - Truck'!AV25)+('VMT Ton-Mile Driver Time'!$L22*'Emissions - Truck'!BE25))/1000000)</f>
        <v>0.63319580243954521</v>
      </c>
      <c r="G64" s="203">
        <f>((('VMT Ton-Mile Driver Time'!$J22*'Emissions - Truck'!AE25)+('VMT Ton-Mile Driver Time'!$K22*'Emissions - Truck'!AW25)+('VMT Ton-Mile Driver Time'!$L22*'Emissions - Truck'!BF25))/1000000)</f>
        <v>1.8899885525268671</v>
      </c>
      <c r="H64" s="44">
        <f>C64*'Monetized Values and Factors'!N62</f>
        <v>0</v>
      </c>
      <c r="I64" s="44">
        <f>D64*'Monetized Values and Factors'!$O$34</f>
        <v>16958542.004470408</v>
      </c>
      <c r="J64" s="44">
        <f>E64*'Monetized Values and Factors'!$O$35</f>
        <v>21666261.495637137</v>
      </c>
      <c r="K64" s="44">
        <f>F64*'Monetized Values and Factors'!$O$36</f>
        <v>30948.622271827408</v>
      </c>
      <c r="L64" s="45">
        <f>G64*'Monetized Values and Factors'!$O$33</f>
        <v>3965.8716541088957</v>
      </c>
    </row>
    <row r="65" spans="1:12" x14ac:dyDescent="0.25">
      <c r="A65" s="39">
        <v>2033</v>
      </c>
      <c r="B65" s="4">
        <f>('VMT Ton-Mile Driver Time'!N23/'Monetized Values and Factors'!M$24)+('VMT Ton-Mile Driver Time'!N66/'Monetized Values and Factors'!$M$25)</f>
        <v>33872699.554761991</v>
      </c>
      <c r="C65" s="203">
        <f>((('VMT Ton-Mile Driver Time'!$J23*'Emissions - Truck'!AA26)+('VMT Ton-Mile Driver Time'!$K23*'Emissions - Truck'!AS26)+('VMT Ton-Mile Driver Time'!$L23*'Emissions - Truck'!BB26))/1000000)+('VMT Ton-Mile Driver Time'!$N66*'Emissions - Rail'!$C$3/1000000)</f>
        <v>163207.43513386129</v>
      </c>
      <c r="D65" s="203">
        <f>((('VMT Ton-Mile Driver Time'!$J23*'Emissions - Truck'!AB26)+('VMT Ton-Mile Driver Time'!$K23*'Emissions - Truck'!AT26)+('VMT Ton-Mile Driver Time'!$L23*'Emissions - Truck'!BC26))/1000000)+('VMT Ton-Mile Driver Time'!$N66*'Emissions - Rail'!$D$3/1000000)</f>
        <v>2047.9459798739529</v>
      </c>
      <c r="E65" s="203">
        <f>((('VMT Ton-Mile Driver Time'!$J23*'Emissions - Truck'!AC26)+('VMT Ton-Mile Driver Time'!$K23*'Emissions - Truck'!AU26)+('VMT Ton-Mile Driver Time'!$L23*'Emissions - Truck'!BD26))/1000000)+('VMT Ton-Mile Driver Time'!$N66*'Emissions - Rail'!$E$3/1000000)</f>
        <v>57.235044313637516</v>
      </c>
      <c r="F65" s="43">
        <f>((('VMT Ton-Mile Driver Time'!$J23*'Emissions - Truck'!AD26)+('VMT Ton-Mile Driver Time'!$K23*'Emissions - Truck'!AV26)+('VMT Ton-Mile Driver Time'!$L23*'Emissions - Truck'!BE26))/1000000)</f>
        <v>0.62827249454211431</v>
      </c>
      <c r="G65" s="203">
        <f>((('VMT Ton-Mile Driver Time'!$J23*'Emissions - Truck'!AE26)+('VMT Ton-Mile Driver Time'!$K23*'Emissions - Truck'!AW26)+('VMT Ton-Mile Driver Time'!$L23*'Emissions - Truck'!BF26))/1000000)</f>
        <v>1.738384942883517</v>
      </c>
      <c r="H65" s="44">
        <f>C65*'Monetized Values and Factors'!N63</f>
        <v>0</v>
      </c>
      <c r="I65" s="44">
        <f>D65*'Monetized Values and Factors'!$O$34</f>
        <v>16936640.22620834</v>
      </c>
      <c r="J65" s="44">
        <f>E65*'Monetized Values and Factors'!$O$35</f>
        <v>21652095.275214471</v>
      </c>
      <c r="K65" s="44">
        <f>F65*'Monetized Values and Factors'!$O$36</f>
        <v>30707.986443449438</v>
      </c>
      <c r="L65" s="45">
        <f>G65*'Monetized Values and Factors'!$O$33</f>
        <v>3647.7530827866995</v>
      </c>
    </row>
    <row r="66" spans="1:12" x14ac:dyDescent="0.25">
      <c r="A66" s="39">
        <v>2034</v>
      </c>
      <c r="B66" s="4">
        <f>('VMT Ton-Mile Driver Time'!N24/'Monetized Values and Factors'!M$24)+('VMT Ton-Mile Driver Time'!N67/'Monetized Values and Factors'!$M$25)</f>
        <v>33872699.554761991</v>
      </c>
      <c r="C66" s="203">
        <f>((('VMT Ton-Mile Driver Time'!$J24*'Emissions - Truck'!AA27)+('VMT Ton-Mile Driver Time'!$K24*'Emissions - Truck'!AS27)+('VMT Ton-Mile Driver Time'!$L24*'Emissions - Truck'!BB27))/1000000)+('VMT Ton-Mile Driver Time'!$N67*'Emissions - Rail'!$C$3/1000000)</f>
        <v>162744.91240178884</v>
      </c>
      <c r="D66" s="203">
        <f>((('VMT Ton-Mile Driver Time'!$J24*'Emissions - Truck'!AB27)+('VMT Ton-Mile Driver Time'!$K24*'Emissions - Truck'!AT27)+('VMT Ton-Mile Driver Time'!$L24*'Emissions - Truck'!BC27))/1000000)+('VMT Ton-Mile Driver Time'!$N67*'Emissions - Rail'!$D$3/1000000)</f>
        <v>2045.578115074904</v>
      </c>
      <c r="E66" s="203">
        <f>((('VMT Ton-Mile Driver Time'!$J24*'Emissions - Truck'!AC27)+('VMT Ton-Mile Driver Time'!$K24*'Emissions - Truck'!AU27)+('VMT Ton-Mile Driver Time'!$L24*'Emissions - Truck'!BD27))/1000000)+('VMT Ton-Mile Driver Time'!$N67*'Emissions - Rail'!$E$3/1000000)</f>
        <v>57.201642476280178</v>
      </c>
      <c r="F66" s="43">
        <f>((('VMT Ton-Mile Driver Time'!$J24*'Emissions - Truck'!AD27)+('VMT Ton-Mile Driver Time'!$K24*'Emissions - Truck'!AV27)+('VMT Ton-Mile Driver Time'!$L24*'Emissions - Truck'!BE27))/1000000)</f>
        <v>0.62339419274892816</v>
      </c>
      <c r="G66" s="203">
        <f>((('VMT Ton-Mile Driver Time'!$J24*'Emissions - Truck'!AE27)+('VMT Ton-Mile Driver Time'!$K24*'Emissions - Truck'!AW27)+('VMT Ton-Mile Driver Time'!$L24*'Emissions - Truck'!BF27))/1000000)</f>
        <v>1.5989787758692566</v>
      </c>
      <c r="H66" s="44">
        <f>C66*'Monetized Values and Factors'!N64</f>
        <v>0</v>
      </c>
      <c r="I66" s="44">
        <f>D66*'Monetized Values and Factors'!$O$34</f>
        <v>16917057.83751259</v>
      </c>
      <c r="J66" s="44">
        <f>E66*'Monetized Values and Factors'!$O$35</f>
        <v>21639459.314615484</v>
      </c>
      <c r="K66" s="44">
        <f>F66*'Monetized Values and Factors'!$O$36</f>
        <v>30469.550372105281</v>
      </c>
      <c r="L66" s="45">
        <f>G66*'Monetized Values and Factors'!$O$33</f>
        <v>3355.2291066860739</v>
      </c>
    </row>
    <row r="67" spans="1:12" x14ac:dyDescent="0.25">
      <c r="A67" s="39">
        <v>2035</v>
      </c>
      <c r="B67" s="4">
        <f>('VMT Ton-Mile Driver Time'!N25/'Monetized Values and Factors'!M$24)+('VMT Ton-Mile Driver Time'!N68/'Monetized Values and Factors'!$M$25)</f>
        <v>33872699.554761991</v>
      </c>
      <c r="C67" s="203">
        <f>((('VMT Ton-Mile Driver Time'!$J25*'Emissions - Truck'!AA28)+('VMT Ton-Mile Driver Time'!$K25*'Emissions - Truck'!AS28)+('VMT Ton-Mile Driver Time'!$L25*'Emissions - Truck'!BB28))/1000000)+('VMT Ton-Mile Driver Time'!$N68*'Emissions - Rail'!$C$3/1000000)</f>
        <v>162286.32493322957</v>
      </c>
      <c r="D67" s="203">
        <f>((('VMT Ton-Mile Driver Time'!$J25*'Emissions - Truck'!AB28)+('VMT Ton-Mile Driver Time'!$K25*'Emissions - Truck'!AT28)+('VMT Ton-Mile Driver Time'!$L25*'Emissions - Truck'!BC28))/1000000)+('VMT Ton-Mile Driver Time'!$N68*'Emissions - Rail'!$D$3/1000000)</f>
        <v>2043.4610058519065</v>
      </c>
      <c r="E67" s="203">
        <f>((('VMT Ton-Mile Driver Time'!$J25*'Emissions - Truck'!AC28)+('VMT Ton-Mile Driver Time'!$K25*'Emissions - Truck'!AU28)+('VMT Ton-Mile Driver Time'!$L25*'Emissions - Truck'!BD28))/1000000)+('VMT Ton-Mile Driver Time'!$N68*'Emissions - Rail'!$E$3/1000000)</f>
        <v>57.171847863058353</v>
      </c>
      <c r="F67" s="43">
        <f>((('VMT Ton-Mile Driver Time'!$J25*'Emissions - Truck'!AD28)+('VMT Ton-Mile Driver Time'!$K25*'Emissions - Truck'!AV28)+('VMT Ton-Mile Driver Time'!$L25*'Emissions - Truck'!BE28))/1000000)</f>
        <v>0.61856046375005524</v>
      </c>
      <c r="G67" s="203">
        <f>((('VMT Ton-Mile Driver Time'!$J25*'Emissions - Truck'!AE28)+('VMT Ton-Mile Driver Time'!$K25*'Emissions - Truck'!AW28)+('VMT Ton-Mile Driver Time'!$L25*'Emissions - Truck'!BF28))/1000000)</f>
        <v>1.4707858880563298</v>
      </c>
      <c r="H67" s="44">
        <f>C67*'Monetized Values and Factors'!N65</f>
        <v>0</v>
      </c>
      <c r="I67" s="44">
        <f>D67*'Monetized Values and Factors'!$O$34</f>
        <v>16899549.212977629</v>
      </c>
      <c r="J67" s="44">
        <f>E67*'Monetized Values and Factors'!$O$35</f>
        <v>21628187.97182361</v>
      </c>
      <c r="K67" s="44">
        <f>F67*'Monetized Values and Factors'!$O$36</f>
        <v>30233.292878966291</v>
      </c>
      <c r="L67" s="45">
        <f>G67*'Monetized Values and Factors'!$O$33</f>
        <v>3086.2345990971603</v>
      </c>
    </row>
    <row r="68" spans="1:12" x14ac:dyDescent="0.25">
      <c r="A68" s="39">
        <v>2036</v>
      </c>
      <c r="B68" s="4">
        <f>('VMT Ton-Mile Driver Time'!N26/'Monetized Values and Factors'!M$24)+('VMT Ton-Mile Driver Time'!N69/'Monetized Values and Factors'!$M$25)</f>
        <v>33872699.554761991</v>
      </c>
      <c r="C68" s="203">
        <f>((('VMT Ton-Mile Driver Time'!$J26*'Emissions - Truck'!AA29)+('VMT Ton-Mile Driver Time'!$K26*'Emissions - Truck'!AS29)+('VMT Ton-Mile Driver Time'!$L26*'Emissions - Truck'!BB29))/1000000)+('VMT Ton-Mile Driver Time'!$N69*'Emissions - Rail'!$C$3/1000000)</f>
        <v>161831.63744153979</v>
      </c>
      <c r="D68" s="203">
        <f>((('VMT Ton-Mile Driver Time'!$J26*'Emissions - Truck'!AB29)+('VMT Ton-Mile Driver Time'!$K26*'Emissions - Truck'!AT29)+('VMT Ton-Mile Driver Time'!$L26*'Emissions - Truck'!BC29))/1000000)+('VMT Ton-Mile Driver Time'!$N69*'Emissions - Rail'!$D$3/1000000)</f>
        <v>2041.5680970062062</v>
      </c>
      <c r="E68" s="203">
        <f>((('VMT Ton-Mile Driver Time'!$J26*'Emissions - Truck'!AC29)+('VMT Ton-Mile Driver Time'!$K26*'Emissions - Truck'!AU29)+('VMT Ton-Mile Driver Time'!$L26*'Emissions - Truck'!BD29))/1000000)+('VMT Ton-Mile Driver Time'!$N69*'Emissions - Rail'!$E$3/1000000)</f>
        <v>57.145270112622981</v>
      </c>
      <c r="F68" s="43">
        <f>((('VMT Ton-Mile Driver Time'!$J26*'Emissions - Truck'!AD29)+('VMT Ton-Mile Driver Time'!$K26*'Emissions - Truck'!AV29)+('VMT Ton-Mile Driver Time'!$L26*'Emissions - Truck'!BE29))/1000000)</f>
        <v>0.61377087846900003</v>
      </c>
      <c r="G68" s="203">
        <f>((('VMT Ton-Mile Driver Time'!$J26*'Emissions - Truck'!AE29)+('VMT Ton-Mile Driver Time'!$K26*'Emissions - Truck'!AW29)+('VMT Ton-Mile Driver Time'!$L26*'Emissions - Truck'!BF29))/1000000)</f>
        <v>1.3529017378870003</v>
      </c>
      <c r="H68" s="44">
        <f>C68*'Monetized Values and Factors'!N66</f>
        <v>0</v>
      </c>
      <c r="I68" s="44">
        <f>D68*'Monetized Values and Factors'!$O$34</f>
        <v>16883894.73946334</v>
      </c>
      <c r="J68" s="44">
        <f>E68*'Monetized Values and Factors'!$O$35</f>
        <v>21618133.572608434</v>
      </c>
      <c r="K68" s="44">
        <f>F68*'Monetized Values and Factors'!$O$36</f>
        <v>29999.19299212089</v>
      </c>
      <c r="L68" s="45">
        <f>G68*'Monetized Values and Factors'!$O$33</f>
        <v>2838.8715084582213</v>
      </c>
    </row>
    <row r="69" spans="1:12" x14ac:dyDescent="0.25">
      <c r="A69" s="39">
        <v>2037</v>
      </c>
      <c r="B69" s="4">
        <f>('VMT Ton-Mile Driver Time'!N27/'Monetized Values and Factors'!M$24)+('VMT Ton-Mile Driver Time'!N70/'Monetized Values and Factors'!$M$25)</f>
        <v>33872699.554761991</v>
      </c>
      <c r="C69" s="203">
        <f>((('VMT Ton-Mile Driver Time'!$J27*'Emissions - Truck'!AA30)+('VMT Ton-Mile Driver Time'!$K27*'Emissions - Truck'!AS30)+('VMT Ton-Mile Driver Time'!$L27*'Emissions - Truck'!BB30))/1000000)+('VMT Ton-Mile Driver Time'!$N70*'Emissions - Rail'!$C$3/1000000)</f>
        <v>161831.63744153979</v>
      </c>
      <c r="D69" s="203">
        <f>((('VMT Ton-Mile Driver Time'!$J27*'Emissions - Truck'!AB30)+('VMT Ton-Mile Driver Time'!$K27*'Emissions - Truck'!AT30)+('VMT Ton-Mile Driver Time'!$L27*'Emissions - Truck'!BC30))/1000000)+('VMT Ton-Mile Driver Time'!$N70*'Emissions - Rail'!$D$3/1000000)</f>
        <v>2041.5680970062062</v>
      </c>
      <c r="E69" s="203">
        <f>((('VMT Ton-Mile Driver Time'!$J27*'Emissions - Truck'!AC30)+('VMT Ton-Mile Driver Time'!$K27*'Emissions - Truck'!AU30)+('VMT Ton-Mile Driver Time'!$L27*'Emissions - Truck'!BD30))/1000000)+('VMT Ton-Mile Driver Time'!$N70*'Emissions - Rail'!$E$3/1000000)</f>
        <v>57.145270112622981</v>
      </c>
      <c r="F69" s="43">
        <f>((('VMT Ton-Mile Driver Time'!$J27*'Emissions - Truck'!AD30)+('VMT Ton-Mile Driver Time'!$K27*'Emissions - Truck'!AV30)+('VMT Ton-Mile Driver Time'!$L27*'Emissions - Truck'!BE30))/1000000)</f>
        <v>0.61377087846900003</v>
      </c>
      <c r="G69" s="203">
        <f>((('VMT Ton-Mile Driver Time'!$J27*'Emissions - Truck'!AE30)+('VMT Ton-Mile Driver Time'!$K27*'Emissions - Truck'!AW30)+('VMT Ton-Mile Driver Time'!$L27*'Emissions - Truck'!BF30))/1000000)</f>
        <v>1.3529017378870003</v>
      </c>
      <c r="H69" s="44">
        <f>C69*'Monetized Values and Factors'!N67</f>
        <v>0</v>
      </c>
      <c r="I69" s="44">
        <f>D69*'Monetized Values and Factors'!$O$34</f>
        <v>16883894.73946334</v>
      </c>
      <c r="J69" s="44">
        <f>E69*'Monetized Values and Factors'!$O$35</f>
        <v>21618133.572608434</v>
      </c>
      <c r="K69" s="44">
        <f>F69*'Monetized Values and Factors'!$O$36</f>
        <v>29999.19299212089</v>
      </c>
      <c r="L69" s="45">
        <f>G69*'Monetized Values and Factors'!$O$33</f>
        <v>2838.8715084582213</v>
      </c>
    </row>
    <row r="70" spans="1:12" x14ac:dyDescent="0.25">
      <c r="A70" s="39">
        <v>2038</v>
      </c>
      <c r="B70" s="4">
        <f>('VMT Ton-Mile Driver Time'!N28/'Monetized Values and Factors'!M$24)+('VMT Ton-Mile Driver Time'!N71/'Monetized Values and Factors'!$M$25)</f>
        <v>33872699.554761991</v>
      </c>
      <c r="C70" s="203">
        <f>((('VMT Ton-Mile Driver Time'!$J28*'Emissions - Truck'!AA31)+('VMT Ton-Mile Driver Time'!$K28*'Emissions - Truck'!AS31)+('VMT Ton-Mile Driver Time'!$L28*'Emissions - Truck'!BB31))/1000000)+('VMT Ton-Mile Driver Time'!$N71*'Emissions - Rail'!$C$3/1000000)</f>
        <v>161831.63744153979</v>
      </c>
      <c r="D70" s="203">
        <f>((('VMT Ton-Mile Driver Time'!$J28*'Emissions - Truck'!AB31)+('VMT Ton-Mile Driver Time'!$K28*'Emissions - Truck'!AT31)+('VMT Ton-Mile Driver Time'!$L28*'Emissions - Truck'!BC31))/1000000)+('VMT Ton-Mile Driver Time'!$N71*'Emissions - Rail'!$D$3/1000000)</f>
        <v>2041.5680970062062</v>
      </c>
      <c r="E70" s="203">
        <f>((('VMT Ton-Mile Driver Time'!$J28*'Emissions - Truck'!AC31)+('VMT Ton-Mile Driver Time'!$K28*'Emissions - Truck'!AU31)+('VMT Ton-Mile Driver Time'!$L28*'Emissions - Truck'!BD31))/1000000)+('VMT Ton-Mile Driver Time'!$N71*'Emissions - Rail'!$E$3/1000000)</f>
        <v>57.145270112622981</v>
      </c>
      <c r="F70" s="43">
        <f>((('VMT Ton-Mile Driver Time'!$J28*'Emissions - Truck'!AD31)+('VMT Ton-Mile Driver Time'!$K28*'Emissions - Truck'!AV31)+('VMT Ton-Mile Driver Time'!$L28*'Emissions - Truck'!BE31))/1000000)</f>
        <v>0.61377087846900003</v>
      </c>
      <c r="G70" s="203">
        <f>((('VMT Ton-Mile Driver Time'!$J28*'Emissions - Truck'!AE31)+('VMT Ton-Mile Driver Time'!$K28*'Emissions - Truck'!AW31)+('VMT Ton-Mile Driver Time'!$L28*'Emissions - Truck'!BF31))/1000000)</f>
        <v>1.3529017378870003</v>
      </c>
      <c r="H70" s="44">
        <f>C70*'Monetized Values and Factors'!N68</f>
        <v>0</v>
      </c>
      <c r="I70" s="44">
        <f>D70*'Monetized Values and Factors'!$O$34</f>
        <v>16883894.73946334</v>
      </c>
      <c r="J70" s="44">
        <f>E70*'Monetized Values and Factors'!$O$35</f>
        <v>21618133.572608434</v>
      </c>
      <c r="K70" s="44">
        <f>F70*'Monetized Values and Factors'!$O$36</f>
        <v>29999.19299212089</v>
      </c>
      <c r="L70" s="45">
        <f>G70*'Monetized Values and Factors'!$O$33</f>
        <v>2838.8715084582213</v>
      </c>
    </row>
    <row r="71" spans="1:12" x14ac:dyDescent="0.25">
      <c r="A71" s="39">
        <v>2039</v>
      </c>
      <c r="B71" s="4">
        <f>('VMT Ton-Mile Driver Time'!N29/'Monetized Values and Factors'!M$24)+('VMT Ton-Mile Driver Time'!N72/'Monetized Values and Factors'!$M$25)</f>
        <v>33872699.554761991</v>
      </c>
      <c r="C71" s="203">
        <f>((('VMT Ton-Mile Driver Time'!$J29*'Emissions - Truck'!AA32)+('VMT Ton-Mile Driver Time'!$K29*'Emissions - Truck'!AS32)+('VMT Ton-Mile Driver Time'!$L29*'Emissions - Truck'!BB32))/1000000)+('VMT Ton-Mile Driver Time'!$N72*'Emissions - Rail'!$C$3/1000000)</f>
        <v>161831.63744153979</v>
      </c>
      <c r="D71" s="203">
        <f>((('VMT Ton-Mile Driver Time'!$J29*'Emissions - Truck'!AB32)+('VMT Ton-Mile Driver Time'!$K29*'Emissions - Truck'!AT32)+('VMT Ton-Mile Driver Time'!$L29*'Emissions - Truck'!BC32))/1000000)+('VMT Ton-Mile Driver Time'!$N72*'Emissions - Rail'!$D$3/1000000)</f>
        <v>2041.5680970062062</v>
      </c>
      <c r="E71" s="203">
        <f>((('VMT Ton-Mile Driver Time'!$J29*'Emissions - Truck'!AC32)+('VMT Ton-Mile Driver Time'!$K29*'Emissions - Truck'!AU32)+('VMT Ton-Mile Driver Time'!$L29*'Emissions - Truck'!BD32))/1000000)+('VMT Ton-Mile Driver Time'!$N72*'Emissions - Rail'!$E$3/1000000)</f>
        <v>57.145270112622981</v>
      </c>
      <c r="F71" s="43">
        <f>((('VMT Ton-Mile Driver Time'!$J29*'Emissions - Truck'!AD32)+('VMT Ton-Mile Driver Time'!$K29*'Emissions - Truck'!AV32)+('VMT Ton-Mile Driver Time'!$L29*'Emissions - Truck'!BE32))/1000000)</f>
        <v>0.61377087846900003</v>
      </c>
      <c r="G71" s="203">
        <f>((('VMT Ton-Mile Driver Time'!$J29*'Emissions - Truck'!AE32)+('VMT Ton-Mile Driver Time'!$K29*'Emissions - Truck'!AW32)+('VMT Ton-Mile Driver Time'!$L29*'Emissions - Truck'!BF32))/1000000)</f>
        <v>1.3529017378870003</v>
      </c>
      <c r="H71" s="44">
        <f>C71*'Monetized Values and Factors'!N69</f>
        <v>0</v>
      </c>
      <c r="I71" s="44">
        <f>D71*'Monetized Values and Factors'!$O$34</f>
        <v>16883894.73946334</v>
      </c>
      <c r="J71" s="44">
        <f>E71*'Monetized Values and Factors'!$O$35</f>
        <v>21618133.572608434</v>
      </c>
      <c r="K71" s="44">
        <f>F71*'Monetized Values and Factors'!$O$36</f>
        <v>29999.19299212089</v>
      </c>
      <c r="L71" s="45">
        <f>G71*'Monetized Values and Factors'!$O$33</f>
        <v>2838.8715084582213</v>
      </c>
    </row>
    <row r="72" spans="1:12" x14ac:dyDescent="0.25">
      <c r="A72" s="39">
        <v>2040</v>
      </c>
      <c r="B72" s="4">
        <f>('VMT Ton-Mile Driver Time'!N30/'Monetized Values and Factors'!M$24)+('VMT Ton-Mile Driver Time'!N73/'Monetized Values and Factors'!$M$25)</f>
        <v>33872699.554761991</v>
      </c>
      <c r="C72" s="203">
        <f>((('VMT Ton-Mile Driver Time'!$J30*'Emissions - Truck'!AA33)+('VMT Ton-Mile Driver Time'!$K30*'Emissions - Truck'!AS33)+('VMT Ton-Mile Driver Time'!$L30*'Emissions - Truck'!BB33))/1000000)+('VMT Ton-Mile Driver Time'!$N73*'Emissions - Rail'!$C$3/1000000)</f>
        <v>161831.63744153979</v>
      </c>
      <c r="D72" s="203">
        <f>((('VMT Ton-Mile Driver Time'!$J30*'Emissions - Truck'!AB33)+('VMT Ton-Mile Driver Time'!$K30*'Emissions - Truck'!AT33)+('VMT Ton-Mile Driver Time'!$L30*'Emissions - Truck'!BC33))/1000000)+('VMT Ton-Mile Driver Time'!$N73*'Emissions - Rail'!$D$3/1000000)</f>
        <v>2041.5680970062062</v>
      </c>
      <c r="E72" s="203">
        <f>((('VMT Ton-Mile Driver Time'!$J30*'Emissions - Truck'!AC33)+('VMT Ton-Mile Driver Time'!$K30*'Emissions - Truck'!AU33)+('VMT Ton-Mile Driver Time'!$L30*'Emissions - Truck'!BD33))/1000000)+('VMT Ton-Mile Driver Time'!$N73*'Emissions - Rail'!$E$3/1000000)</f>
        <v>57.145270112622981</v>
      </c>
      <c r="F72" s="43">
        <f>((('VMT Ton-Mile Driver Time'!$J30*'Emissions - Truck'!AD33)+('VMT Ton-Mile Driver Time'!$K30*'Emissions - Truck'!AV33)+('VMT Ton-Mile Driver Time'!$L30*'Emissions - Truck'!BE33))/1000000)</f>
        <v>0.61377087846900003</v>
      </c>
      <c r="G72" s="203">
        <f>((('VMT Ton-Mile Driver Time'!$J30*'Emissions - Truck'!AE33)+('VMT Ton-Mile Driver Time'!$K30*'Emissions - Truck'!AW33)+('VMT Ton-Mile Driver Time'!$L30*'Emissions - Truck'!BF33))/1000000)</f>
        <v>1.3529017378870003</v>
      </c>
      <c r="H72" s="44">
        <f>C72*'Monetized Values and Factors'!N70</f>
        <v>0</v>
      </c>
      <c r="I72" s="44">
        <f>D72*'Monetized Values and Factors'!$O$34</f>
        <v>16883894.73946334</v>
      </c>
      <c r="J72" s="44">
        <f>E72*'Monetized Values and Factors'!$O$35</f>
        <v>21618133.572608434</v>
      </c>
      <c r="K72" s="44">
        <f>F72*'Monetized Values and Factors'!$O$36</f>
        <v>29999.19299212089</v>
      </c>
      <c r="L72" s="45">
        <f>G72*'Monetized Values and Factors'!$O$33</f>
        <v>2838.8715084582213</v>
      </c>
    </row>
    <row r="73" spans="1:12" x14ac:dyDescent="0.25">
      <c r="A73" s="39">
        <v>2041</v>
      </c>
      <c r="B73" s="4">
        <f>('VMT Ton-Mile Driver Time'!N31/'Monetized Values and Factors'!M$24)+('VMT Ton-Mile Driver Time'!N74/'Monetized Values and Factors'!$M$25)</f>
        <v>33872699.554761991</v>
      </c>
      <c r="C73" s="203">
        <f>((('VMT Ton-Mile Driver Time'!$J31*'Emissions - Truck'!AA34)+('VMT Ton-Mile Driver Time'!$K31*'Emissions - Truck'!AS34)+('VMT Ton-Mile Driver Time'!$L31*'Emissions - Truck'!BB34))/1000000)+('VMT Ton-Mile Driver Time'!$N74*'Emissions - Rail'!$C$3/1000000)</f>
        <v>161831.63744153979</v>
      </c>
      <c r="D73" s="203">
        <f>((('VMT Ton-Mile Driver Time'!$J31*'Emissions - Truck'!AB34)+('VMT Ton-Mile Driver Time'!$K31*'Emissions - Truck'!AT34)+('VMT Ton-Mile Driver Time'!$L31*'Emissions - Truck'!BC34))/1000000)+('VMT Ton-Mile Driver Time'!$N74*'Emissions - Rail'!$D$3/1000000)</f>
        <v>2041.5680970062062</v>
      </c>
      <c r="E73" s="203">
        <f>((('VMT Ton-Mile Driver Time'!$J31*'Emissions - Truck'!AC34)+('VMT Ton-Mile Driver Time'!$K31*'Emissions - Truck'!AU34)+('VMT Ton-Mile Driver Time'!$L31*'Emissions - Truck'!BD34))/1000000)+('VMT Ton-Mile Driver Time'!$N74*'Emissions - Rail'!$E$3/1000000)</f>
        <v>57.145270112622981</v>
      </c>
      <c r="F73" s="43">
        <f>((('VMT Ton-Mile Driver Time'!$J31*'Emissions - Truck'!AD34)+('VMT Ton-Mile Driver Time'!$K31*'Emissions - Truck'!AV34)+('VMT Ton-Mile Driver Time'!$L31*'Emissions - Truck'!BE34))/1000000)</f>
        <v>0.61377087846900003</v>
      </c>
      <c r="G73" s="203">
        <f>((('VMT Ton-Mile Driver Time'!$J31*'Emissions - Truck'!AE34)+('VMT Ton-Mile Driver Time'!$K31*'Emissions - Truck'!AW34)+('VMT Ton-Mile Driver Time'!$L31*'Emissions - Truck'!BF34))/1000000)</f>
        <v>1.3529017378870003</v>
      </c>
      <c r="H73" s="44">
        <f>C73*'Monetized Values and Factors'!N71</f>
        <v>0</v>
      </c>
      <c r="I73" s="44">
        <f>D73*'Monetized Values and Factors'!$O$34</f>
        <v>16883894.73946334</v>
      </c>
      <c r="J73" s="44">
        <f>E73*'Monetized Values and Factors'!$O$35</f>
        <v>21618133.572608434</v>
      </c>
      <c r="K73" s="44">
        <f>F73*'Monetized Values and Factors'!$O$36</f>
        <v>29999.19299212089</v>
      </c>
      <c r="L73" s="45">
        <f>G73*'Monetized Values and Factors'!$O$33</f>
        <v>2838.8715084582213</v>
      </c>
    </row>
    <row r="74" spans="1:12" x14ac:dyDescent="0.25">
      <c r="A74" s="39">
        <v>2042</v>
      </c>
      <c r="B74" s="4">
        <f>('VMT Ton-Mile Driver Time'!N32/'Monetized Values and Factors'!M$24)+('VMT Ton-Mile Driver Time'!N75/'Monetized Values and Factors'!$M$25)</f>
        <v>33872699.554761991</v>
      </c>
      <c r="C74" s="203">
        <f>((('VMT Ton-Mile Driver Time'!$J32*'Emissions - Truck'!AA35)+('VMT Ton-Mile Driver Time'!$K32*'Emissions - Truck'!AS35)+('VMT Ton-Mile Driver Time'!$L32*'Emissions - Truck'!BB35))/1000000)+('VMT Ton-Mile Driver Time'!$N75*'Emissions - Rail'!$C$3/1000000)</f>
        <v>161831.63744153979</v>
      </c>
      <c r="D74" s="203">
        <f>((('VMT Ton-Mile Driver Time'!$J32*'Emissions - Truck'!AB35)+('VMT Ton-Mile Driver Time'!$K32*'Emissions - Truck'!AT35)+('VMT Ton-Mile Driver Time'!$L32*'Emissions - Truck'!BC35))/1000000)+('VMT Ton-Mile Driver Time'!$N75*'Emissions - Rail'!$D$3/1000000)</f>
        <v>2041.5680970062062</v>
      </c>
      <c r="E74" s="203">
        <f>((('VMT Ton-Mile Driver Time'!$J32*'Emissions - Truck'!AC35)+('VMT Ton-Mile Driver Time'!$K32*'Emissions - Truck'!AU35)+('VMT Ton-Mile Driver Time'!$L32*'Emissions - Truck'!BD35))/1000000)+('VMT Ton-Mile Driver Time'!$N75*'Emissions - Rail'!$E$3/1000000)</f>
        <v>57.145270112622981</v>
      </c>
      <c r="F74" s="43">
        <f>((('VMT Ton-Mile Driver Time'!$J32*'Emissions - Truck'!AD35)+('VMT Ton-Mile Driver Time'!$K32*'Emissions - Truck'!AV35)+('VMT Ton-Mile Driver Time'!$L32*'Emissions - Truck'!BE35))/1000000)</f>
        <v>0.61377087846900003</v>
      </c>
      <c r="G74" s="203">
        <f>((('VMT Ton-Mile Driver Time'!$J32*'Emissions - Truck'!AE35)+('VMT Ton-Mile Driver Time'!$K32*'Emissions - Truck'!AW35)+('VMT Ton-Mile Driver Time'!$L32*'Emissions - Truck'!BF35))/1000000)</f>
        <v>1.3529017378870003</v>
      </c>
      <c r="H74" s="44">
        <f>C74*'Monetized Values and Factors'!N72</f>
        <v>0</v>
      </c>
      <c r="I74" s="44">
        <f>D74*'Monetized Values and Factors'!$O$34</f>
        <v>16883894.73946334</v>
      </c>
      <c r="J74" s="44">
        <f>E74*'Monetized Values and Factors'!$O$35</f>
        <v>21618133.572608434</v>
      </c>
      <c r="K74" s="44">
        <f>F74*'Monetized Values and Factors'!$O$36</f>
        <v>29999.19299212089</v>
      </c>
      <c r="L74" s="45">
        <f>G74*'Monetized Values and Factors'!$O$33</f>
        <v>2838.8715084582213</v>
      </c>
    </row>
    <row r="75" spans="1:12" x14ac:dyDescent="0.25">
      <c r="A75" s="39">
        <v>2043</v>
      </c>
      <c r="B75" s="4">
        <f>('VMT Ton-Mile Driver Time'!N33/'Monetized Values and Factors'!M$24)+('VMT Ton-Mile Driver Time'!N76/'Monetized Values and Factors'!$M$25)</f>
        <v>33872699.554761991</v>
      </c>
      <c r="C75" s="203">
        <f>((('VMT Ton-Mile Driver Time'!$J33*'Emissions - Truck'!AA36)+('VMT Ton-Mile Driver Time'!$K33*'Emissions - Truck'!AS36)+('VMT Ton-Mile Driver Time'!$L33*'Emissions - Truck'!BB36))/1000000)+('VMT Ton-Mile Driver Time'!$N76*'Emissions - Rail'!$C$3/1000000)</f>
        <v>161831.63744153979</v>
      </c>
      <c r="D75" s="203">
        <f>((('VMT Ton-Mile Driver Time'!$J33*'Emissions - Truck'!AB36)+('VMT Ton-Mile Driver Time'!$K33*'Emissions - Truck'!AT36)+('VMT Ton-Mile Driver Time'!$L33*'Emissions - Truck'!BC36))/1000000)+('VMT Ton-Mile Driver Time'!$N76*'Emissions - Rail'!$D$3/1000000)</f>
        <v>2041.5680970062062</v>
      </c>
      <c r="E75" s="203">
        <f>((('VMT Ton-Mile Driver Time'!$J33*'Emissions - Truck'!AC36)+('VMT Ton-Mile Driver Time'!$K33*'Emissions - Truck'!AU36)+('VMT Ton-Mile Driver Time'!$L33*'Emissions - Truck'!BD36))/1000000)+('VMT Ton-Mile Driver Time'!$N76*'Emissions - Rail'!$E$3/1000000)</f>
        <v>57.145270112622981</v>
      </c>
      <c r="F75" s="43">
        <f>((('VMT Ton-Mile Driver Time'!$J33*'Emissions - Truck'!AD36)+('VMT Ton-Mile Driver Time'!$K33*'Emissions - Truck'!AV36)+('VMT Ton-Mile Driver Time'!$L33*'Emissions - Truck'!BE36))/1000000)</f>
        <v>0.61377087846900003</v>
      </c>
      <c r="G75" s="203">
        <f>((('VMT Ton-Mile Driver Time'!$J33*'Emissions - Truck'!AE36)+('VMT Ton-Mile Driver Time'!$K33*'Emissions - Truck'!AW36)+('VMT Ton-Mile Driver Time'!$L33*'Emissions - Truck'!BF36))/1000000)</f>
        <v>1.3529017378870003</v>
      </c>
      <c r="H75" s="44">
        <f>C75*'Monetized Values and Factors'!N73</f>
        <v>0</v>
      </c>
      <c r="I75" s="44">
        <f>D75*'Monetized Values and Factors'!$O$34</f>
        <v>16883894.73946334</v>
      </c>
      <c r="J75" s="44">
        <f>E75*'Monetized Values and Factors'!$O$35</f>
        <v>21618133.572608434</v>
      </c>
      <c r="K75" s="44">
        <f>F75*'Monetized Values and Factors'!$O$36</f>
        <v>29999.19299212089</v>
      </c>
      <c r="L75" s="45">
        <f>G75*'Monetized Values and Factors'!$O$33</f>
        <v>2838.8715084582213</v>
      </c>
    </row>
    <row r="76" spans="1:12" x14ac:dyDescent="0.25">
      <c r="A76" s="39">
        <v>2044</v>
      </c>
      <c r="B76" s="4">
        <f>('VMT Ton-Mile Driver Time'!N34/'Monetized Values and Factors'!M$24)+('VMT Ton-Mile Driver Time'!N77/'Monetized Values and Factors'!$M$25)</f>
        <v>33872699.554761991</v>
      </c>
      <c r="C76" s="203">
        <f>((('VMT Ton-Mile Driver Time'!$J34*'Emissions - Truck'!AA37)+('VMT Ton-Mile Driver Time'!$K34*'Emissions - Truck'!AS37)+('VMT Ton-Mile Driver Time'!$L34*'Emissions - Truck'!BB37))/1000000)+('VMT Ton-Mile Driver Time'!$N77*'Emissions - Rail'!$C$3/1000000)</f>
        <v>161831.63744153979</v>
      </c>
      <c r="D76" s="203">
        <f>((('VMT Ton-Mile Driver Time'!$J34*'Emissions - Truck'!AB37)+('VMT Ton-Mile Driver Time'!$K34*'Emissions - Truck'!AT37)+('VMT Ton-Mile Driver Time'!$L34*'Emissions - Truck'!BC37))/1000000)+('VMT Ton-Mile Driver Time'!$N77*'Emissions - Rail'!$D$3/1000000)</f>
        <v>2041.5680970062062</v>
      </c>
      <c r="E76" s="203">
        <f>((('VMT Ton-Mile Driver Time'!$J34*'Emissions - Truck'!AC37)+('VMT Ton-Mile Driver Time'!$K34*'Emissions - Truck'!AU37)+('VMT Ton-Mile Driver Time'!$L34*'Emissions - Truck'!BD37))/1000000)+('VMT Ton-Mile Driver Time'!$N77*'Emissions - Rail'!$E$3/1000000)</f>
        <v>57.145270112622981</v>
      </c>
      <c r="F76" s="43">
        <f>((('VMT Ton-Mile Driver Time'!$J34*'Emissions - Truck'!AD37)+('VMT Ton-Mile Driver Time'!$K34*'Emissions - Truck'!AV37)+('VMT Ton-Mile Driver Time'!$L34*'Emissions - Truck'!BE37))/1000000)</f>
        <v>0.61377087846900003</v>
      </c>
      <c r="G76" s="203">
        <f>((('VMT Ton-Mile Driver Time'!$J34*'Emissions - Truck'!AE37)+('VMT Ton-Mile Driver Time'!$K34*'Emissions - Truck'!AW37)+('VMT Ton-Mile Driver Time'!$L34*'Emissions - Truck'!BF37))/1000000)</f>
        <v>1.3529017378870003</v>
      </c>
      <c r="H76" s="44">
        <f>C76*'Monetized Values and Factors'!N74</f>
        <v>0</v>
      </c>
      <c r="I76" s="44">
        <f>D76*'Monetized Values and Factors'!$O$34</f>
        <v>16883894.73946334</v>
      </c>
      <c r="J76" s="44">
        <f>E76*'Monetized Values and Factors'!$O$35</f>
        <v>21618133.572608434</v>
      </c>
      <c r="K76" s="44">
        <f>F76*'Monetized Values and Factors'!$O$36</f>
        <v>29999.19299212089</v>
      </c>
      <c r="L76" s="45">
        <f>G76*'Monetized Values and Factors'!$O$33</f>
        <v>2838.8715084582213</v>
      </c>
    </row>
    <row r="77" spans="1:12" x14ac:dyDescent="0.25">
      <c r="A77" s="39">
        <v>2045</v>
      </c>
      <c r="B77" s="4">
        <f>('VMT Ton-Mile Driver Time'!N35/'Monetized Values and Factors'!M$24)+('VMT Ton-Mile Driver Time'!N78/'Monetized Values and Factors'!$M$25)</f>
        <v>33872699.554761991</v>
      </c>
      <c r="C77" s="203">
        <f>((('VMT Ton-Mile Driver Time'!$J35*'Emissions - Truck'!AA38)+('VMT Ton-Mile Driver Time'!$K35*'Emissions - Truck'!AS38)+('VMT Ton-Mile Driver Time'!$L35*'Emissions - Truck'!BB38))/1000000)+('VMT Ton-Mile Driver Time'!$N78*'Emissions - Rail'!$C$3/1000000)</f>
        <v>161831.63744153979</v>
      </c>
      <c r="D77" s="203">
        <f>((('VMT Ton-Mile Driver Time'!$J35*'Emissions - Truck'!AB38)+('VMT Ton-Mile Driver Time'!$K35*'Emissions - Truck'!AT38)+('VMT Ton-Mile Driver Time'!$L35*'Emissions - Truck'!BC38))/1000000)+('VMT Ton-Mile Driver Time'!$N78*'Emissions - Rail'!$D$3/1000000)</f>
        <v>2041.5680970062062</v>
      </c>
      <c r="E77" s="203">
        <f>((('VMT Ton-Mile Driver Time'!$J35*'Emissions - Truck'!AC38)+('VMT Ton-Mile Driver Time'!$K35*'Emissions - Truck'!AU38)+('VMT Ton-Mile Driver Time'!$L35*'Emissions - Truck'!BD38))/1000000)+('VMT Ton-Mile Driver Time'!$N78*'Emissions - Rail'!$E$3/1000000)</f>
        <v>57.145270112622981</v>
      </c>
      <c r="F77" s="43">
        <f>((('VMT Ton-Mile Driver Time'!$J35*'Emissions - Truck'!AD38)+('VMT Ton-Mile Driver Time'!$K35*'Emissions - Truck'!AV38)+('VMT Ton-Mile Driver Time'!$L35*'Emissions - Truck'!BE38))/1000000)</f>
        <v>0.61377087846900003</v>
      </c>
      <c r="G77" s="203">
        <f>((('VMT Ton-Mile Driver Time'!$J35*'Emissions - Truck'!AE38)+('VMT Ton-Mile Driver Time'!$K35*'Emissions - Truck'!AW38)+('VMT Ton-Mile Driver Time'!$L35*'Emissions - Truck'!BF38))/1000000)</f>
        <v>1.3529017378870003</v>
      </c>
      <c r="H77" s="44">
        <f>C77*'Monetized Values and Factors'!N75</f>
        <v>0</v>
      </c>
      <c r="I77" s="44">
        <f>D77*'Monetized Values and Factors'!$O$34</f>
        <v>16883894.73946334</v>
      </c>
      <c r="J77" s="44">
        <f>E77*'Monetized Values and Factors'!$O$35</f>
        <v>21618133.572608434</v>
      </c>
      <c r="K77" s="44">
        <f>F77*'Monetized Values and Factors'!$O$36</f>
        <v>29999.19299212089</v>
      </c>
      <c r="L77" s="45">
        <f>G77*'Monetized Values and Factors'!$O$33</f>
        <v>2838.8715084582213</v>
      </c>
    </row>
    <row r="78" spans="1:12" x14ac:dyDescent="0.25">
      <c r="A78" s="39">
        <v>2046</v>
      </c>
      <c r="B78" s="4">
        <f>('VMT Ton-Mile Driver Time'!N36/'Monetized Values and Factors'!M$24)+('VMT Ton-Mile Driver Time'!N79/'Monetized Values and Factors'!$M$25)</f>
        <v>33872699.554761991</v>
      </c>
      <c r="C78" s="203">
        <f>((('VMT Ton-Mile Driver Time'!$J36*'Emissions - Truck'!AA39)+('VMT Ton-Mile Driver Time'!$K36*'Emissions - Truck'!AS39)+('VMT Ton-Mile Driver Time'!$L36*'Emissions - Truck'!BB39))/1000000)+('VMT Ton-Mile Driver Time'!$N79*'Emissions - Rail'!$C$3/1000000)</f>
        <v>161831.63744153979</v>
      </c>
      <c r="D78" s="203">
        <f>((('VMT Ton-Mile Driver Time'!$J36*'Emissions - Truck'!AB39)+('VMT Ton-Mile Driver Time'!$K36*'Emissions - Truck'!AT39)+('VMT Ton-Mile Driver Time'!$L36*'Emissions - Truck'!BC39))/1000000)+('VMT Ton-Mile Driver Time'!$N79*'Emissions - Rail'!$D$3/1000000)</f>
        <v>2041.5680970062062</v>
      </c>
      <c r="E78" s="203">
        <f>((('VMT Ton-Mile Driver Time'!$J36*'Emissions - Truck'!AC39)+('VMT Ton-Mile Driver Time'!$K36*'Emissions - Truck'!AU39)+('VMT Ton-Mile Driver Time'!$L36*'Emissions - Truck'!BD39))/1000000)+('VMT Ton-Mile Driver Time'!$N79*'Emissions - Rail'!$E$3/1000000)</f>
        <v>57.145270112622981</v>
      </c>
      <c r="F78" s="43">
        <f>((('VMT Ton-Mile Driver Time'!$J36*'Emissions - Truck'!AD39)+('VMT Ton-Mile Driver Time'!$K36*'Emissions - Truck'!AV39)+('VMT Ton-Mile Driver Time'!$L36*'Emissions - Truck'!BE39))/1000000)</f>
        <v>0.61377087846900003</v>
      </c>
      <c r="G78" s="203">
        <f>((('VMT Ton-Mile Driver Time'!$J36*'Emissions - Truck'!AE39)+('VMT Ton-Mile Driver Time'!$K36*'Emissions - Truck'!AW39)+('VMT Ton-Mile Driver Time'!$L36*'Emissions - Truck'!BF39))/1000000)</f>
        <v>1.3529017378870003</v>
      </c>
      <c r="H78" s="44">
        <f>C78*'Monetized Values and Factors'!N76</f>
        <v>0</v>
      </c>
      <c r="I78" s="44">
        <f>D78*'Monetized Values and Factors'!$O$34</f>
        <v>16883894.73946334</v>
      </c>
      <c r="J78" s="44">
        <f>E78*'Monetized Values and Factors'!$O$35</f>
        <v>21618133.572608434</v>
      </c>
      <c r="K78" s="44">
        <f>F78*'Monetized Values and Factors'!$O$36</f>
        <v>29999.19299212089</v>
      </c>
      <c r="L78" s="45">
        <f>G78*'Monetized Values and Factors'!$O$33</f>
        <v>2838.8715084582213</v>
      </c>
    </row>
    <row r="79" spans="1:12" x14ac:dyDescent="0.25">
      <c r="A79" s="39">
        <v>2047</v>
      </c>
      <c r="B79" s="4">
        <f>('VMT Ton-Mile Driver Time'!N37/'Monetized Values and Factors'!M$24)+('VMT Ton-Mile Driver Time'!N80/'Monetized Values and Factors'!$M$25)</f>
        <v>33872699.554761991</v>
      </c>
      <c r="C79" s="203">
        <f>((('VMT Ton-Mile Driver Time'!$J37*'Emissions - Truck'!AA40)+('VMT Ton-Mile Driver Time'!$K37*'Emissions - Truck'!AS40)+('VMT Ton-Mile Driver Time'!$L37*'Emissions - Truck'!BB40))/1000000)+('VMT Ton-Mile Driver Time'!$N80*'Emissions - Rail'!$C$3/1000000)</f>
        <v>161831.63744153979</v>
      </c>
      <c r="D79" s="203">
        <f>((('VMT Ton-Mile Driver Time'!$J37*'Emissions - Truck'!AB40)+('VMT Ton-Mile Driver Time'!$K37*'Emissions - Truck'!AT40)+('VMT Ton-Mile Driver Time'!$L37*'Emissions - Truck'!BC40))/1000000)+('VMT Ton-Mile Driver Time'!$N80*'Emissions - Rail'!$D$3/1000000)</f>
        <v>2041.5680970062062</v>
      </c>
      <c r="E79" s="203">
        <f>((('VMT Ton-Mile Driver Time'!$J37*'Emissions - Truck'!AC40)+('VMT Ton-Mile Driver Time'!$K37*'Emissions - Truck'!AU40)+('VMT Ton-Mile Driver Time'!$L37*'Emissions - Truck'!BD40))/1000000)+('VMT Ton-Mile Driver Time'!$N80*'Emissions - Rail'!$E$3/1000000)</f>
        <v>57.145270112622981</v>
      </c>
      <c r="F79" s="43">
        <f>((('VMT Ton-Mile Driver Time'!$J37*'Emissions - Truck'!AD40)+('VMT Ton-Mile Driver Time'!$K37*'Emissions - Truck'!AV40)+('VMT Ton-Mile Driver Time'!$L37*'Emissions - Truck'!BE40))/1000000)</f>
        <v>0.61377087846900003</v>
      </c>
      <c r="G79" s="203">
        <f>((('VMT Ton-Mile Driver Time'!$J37*'Emissions - Truck'!AE40)+('VMT Ton-Mile Driver Time'!$K37*'Emissions - Truck'!AW40)+('VMT Ton-Mile Driver Time'!$L37*'Emissions - Truck'!BF40))/1000000)</f>
        <v>1.3529017378870003</v>
      </c>
      <c r="H79" s="44">
        <f>C79*'Monetized Values and Factors'!N77</f>
        <v>0</v>
      </c>
      <c r="I79" s="44">
        <f>D79*'Monetized Values and Factors'!$O$34</f>
        <v>16883894.73946334</v>
      </c>
      <c r="J79" s="44">
        <f>E79*'Monetized Values and Factors'!$O$35</f>
        <v>21618133.572608434</v>
      </c>
      <c r="K79" s="44">
        <f>F79*'Monetized Values and Factors'!$O$36</f>
        <v>29999.19299212089</v>
      </c>
      <c r="L79" s="45">
        <f>G79*'Monetized Values and Factors'!$O$33</f>
        <v>2838.8715084582213</v>
      </c>
    </row>
    <row r="80" spans="1:12" x14ac:dyDescent="0.25">
      <c r="A80" s="39">
        <v>2048</v>
      </c>
      <c r="B80" s="4">
        <f>('VMT Ton-Mile Driver Time'!N38/'Monetized Values and Factors'!M$24)+('VMT Ton-Mile Driver Time'!N81/'Monetized Values and Factors'!$M$25)</f>
        <v>33872699.554761991</v>
      </c>
      <c r="C80" s="203">
        <f>((('VMT Ton-Mile Driver Time'!$J38*'Emissions - Truck'!AA41)+('VMT Ton-Mile Driver Time'!$K38*'Emissions - Truck'!AS41)+('VMT Ton-Mile Driver Time'!$L38*'Emissions - Truck'!BB41))/1000000)+('VMT Ton-Mile Driver Time'!$N81*'Emissions - Rail'!$C$3/1000000)</f>
        <v>161831.63744153979</v>
      </c>
      <c r="D80" s="203">
        <f>((('VMT Ton-Mile Driver Time'!$J38*'Emissions - Truck'!AB41)+('VMT Ton-Mile Driver Time'!$K38*'Emissions - Truck'!AT41)+('VMT Ton-Mile Driver Time'!$L38*'Emissions - Truck'!BC41))/1000000)+('VMT Ton-Mile Driver Time'!$N81*'Emissions - Rail'!$D$3/1000000)</f>
        <v>2041.5680970062062</v>
      </c>
      <c r="E80" s="203">
        <f>((('VMT Ton-Mile Driver Time'!$J38*'Emissions - Truck'!AC41)+('VMT Ton-Mile Driver Time'!$K38*'Emissions - Truck'!AU41)+('VMT Ton-Mile Driver Time'!$L38*'Emissions - Truck'!BD41))/1000000)+('VMT Ton-Mile Driver Time'!$N81*'Emissions - Rail'!$E$3/1000000)</f>
        <v>57.145270112622981</v>
      </c>
      <c r="F80" s="43">
        <f>((('VMT Ton-Mile Driver Time'!$J38*'Emissions - Truck'!AD41)+('VMT Ton-Mile Driver Time'!$K38*'Emissions - Truck'!AV41)+('VMT Ton-Mile Driver Time'!$L38*'Emissions - Truck'!BE41))/1000000)</f>
        <v>0.61377087846900003</v>
      </c>
      <c r="G80" s="203">
        <f>((('VMT Ton-Mile Driver Time'!$J38*'Emissions - Truck'!AE41)+('VMT Ton-Mile Driver Time'!$K38*'Emissions - Truck'!AW41)+('VMT Ton-Mile Driver Time'!$L38*'Emissions - Truck'!BF41))/1000000)</f>
        <v>1.3529017378870003</v>
      </c>
      <c r="H80" s="44">
        <f>C80*'Monetized Values and Factors'!N78</f>
        <v>0</v>
      </c>
      <c r="I80" s="44">
        <f>D80*'Monetized Values and Factors'!$O$34</f>
        <v>16883894.73946334</v>
      </c>
      <c r="J80" s="44">
        <f>E80*'Monetized Values and Factors'!$O$35</f>
        <v>21618133.572608434</v>
      </c>
      <c r="K80" s="44">
        <f>F80*'Monetized Values and Factors'!$O$36</f>
        <v>29999.19299212089</v>
      </c>
      <c r="L80" s="45">
        <f>G80*'Monetized Values and Factors'!$O$33</f>
        <v>2838.8715084582213</v>
      </c>
    </row>
    <row r="81" spans="1:12" x14ac:dyDescent="0.25">
      <c r="A81" s="39">
        <v>2049</v>
      </c>
      <c r="B81" s="4">
        <f>('VMT Ton-Mile Driver Time'!N39/'Monetized Values and Factors'!M$24)+('VMT Ton-Mile Driver Time'!N82/'Monetized Values and Factors'!$M$25)</f>
        <v>33872699.554761991</v>
      </c>
      <c r="C81" s="203">
        <f>((('VMT Ton-Mile Driver Time'!$J39*'Emissions - Truck'!AA42)+('VMT Ton-Mile Driver Time'!$K39*'Emissions - Truck'!AS42)+('VMT Ton-Mile Driver Time'!$L39*'Emissions - Truck'!BB42))/1000000)+('VMT Ton-Mile Driver Time'!$N82*'Emissions - Rail'!$C$3/1000000)</f>
        <v>161831.63744153979</v>
      </c>
      <c r="D81" s="203">
        <f>((('VMT Ton-Mile Driver Time'!$J39*'Emissions - Truck'!AB42)+('VMT Ton-Mile Driver Time'!$K39*'Emissions - Truck'!AT42)+('VMT Ton-Mile Driver Time'!$L39*'Emissions - Truck'!BC42))/1000000)+('VMT Ton-Mile Driver Time'!$N82*'Emissions - Rail'!$D$3/1000000)</f>
        <v>2041.5680970062062</v>
      </c>
      <c r="E81" s="203">
        <f>((('VMT Ton-Mile Driver Time'!$J39*'Emissions - Truck'!AC42)+('VMT Ton-Mile Driver Time'!$K39*'Emissions - Truck'!AU42)+('VMT Ton-Mile Driver Time'!$L39*'Emissions - Truck'!BD42))/1000000)+('VMT Ton-Mile Driver Time'!$N82*'Emissions - Rail'!$E$3/1000000)</f>
        <v>57.145270112622981</v>
      </c>
      <c r="F81" s="43">
        <f>((('VMT Ton-Mile Driver Time'!$J39*'Emissions - Truck'!AD42)+('VMT Ton-Mile Driver Time'!$K39*'Emissions - Truck'!AV42)+('VMT Ton-Mile Driver Time'!$L39*'Emissions - Truck'!BE42))/1000000)</f>
        <v>0.61377087846900003</v>
      </c>
      <c r="G81" s="203">
        <f>((('VMT Ton-Mile Driver Time'!$J39*'Emissions - Truck'!AE42)+('VMT Ton-Mile Driver Time'!$K39*'Emissions - Truck'!AW42)+('VMT Ton-Mile Driver Time'!$L39*'Emissions - Truck'!BF42))/1000000)</f>
        <v>1.3529017378870003</v>
      </c>
      <c r="H81" s="44">
        <f>C81*'Monetized Values and Factors'!N79</f>
        <v>0</v>
      </c>
      <c r="I81" s="44">
        <f>D81*'Monetized Values and Factors'!$O$34</f>
        <v>16883894.73946334</v>
      </c>
      <c r="J81" s="44">
        <f>E81*'Monetized Values and Factors'!$O$35</f>
        <v>21618133.572608434</v>
      </c>
      <c r="K81" s="44">
        <f>F81*'Monetized Values and Factors'!$O$36</f>
        <v>29999.19299212089</v>
      </c>
      <c r="L81" s="45">
        <f>G81*'Monetized Values and Factors'!$O$33</f>
        <v>2838.8715084582213</v>
      </c>
    </row>
    <row r="82" spans="1:12" x14ac:dyDescent="0.25">
      <c r="A82" s="39">
        <v>2050</v>
      </c>
      <c r="B82" s="4">
        <f>('VMT Ton-Mile Driver Time'!N40/'Monetized Values and Factors'!M$24)+('VMT Ton-Mile Driver Time'!N83/'Monetized Values and Factors'!$M$25)</f>
        <v>33872699.554761991</v>
      </c>
      <c r="C82" s="203">
        <f>((('VMT Ton-Mile Driver Time'!$J40*'Emissions - Truck'!AA43)+('VMT Ton-Mile Driver Time'!$K40*'Emissions - Truck'!AS43)+('VMT Ton-Mile Driver Time'!$L40*'Emissions - Truck'!BB43))/1000000)+('VMT Ton-Mile Driver Time'!$N83*'Emissions - Rail'!$C$3/1000000)</f>
        <v>161831.63744153979</v>
      </c>
      <c r="D82" s="203">
        <f>((('VMT Ton-Mile Driver Time'!$J40*'Emissions - Truck'!AB43)+('VMT Ton-Mile Driver Time'!$K40*'Emissions - Truck'!AT43)+('VMT Ton-Mile Driver Time'!$L40*'Emissions - Truck'!BC43))/1000000)+('VMT Ton-Mile Driver Time'!$N83*'Emissions - Rail'!$D$3/1000000)</f>
        <v>2041.5680970062062</v>
      </c>
      <c r="E82" s="203">
        <f>((('VMT Ton-Mile Driver Time'!$J40*'Emissions - Truck'!AC43)+('VMT Ton-Mile Driver Time'!$K40*'Emissions - Truck'!AU43)+('VMT Ton-Mile Driver Time'!$L40*'Emissions - Truck'!BD43))/1000000)+('VMT Ton-Mile Driver Time'!$N83*'Emissions - Rail'!$E$3/1000000)</f>
        <v>57.145270112622981</v>
      </c>
      <c r="F82" s="43">
        <f>((('VMT Ton-Mile Driver Time'!$J40*'Emissions - Truck'!AD43)+('VMT Ton-Mile Driver Time'!$K40*'Emissions - Truck'!AV43)+('VMT Ton-Mile Driver Time'!$L40*'Emissions - Truck'!BE43))/1000000)</f>
        <v>0.61377087846900003</v>
      </c>
      <c r="G82" s="203">
        <f>((('VMT Ton-Mile Driver Time'!$J40*'Emissions - Truck'!AE43)+('VMT Ton-Mile Driver Time'!$K40*'Emissions - Truck'!AW43)+('VMT Ton-Mile Driver Time'!$L40*'Emissions - Truck'!BF43))/1000000)</f>
        <v>1.3529017378870003</v>
      </c>
      <c r="H82" s="44">
        <f>C82*'Monetized Values and Factors'!N80</f>
        <v>0</v>
      </c>
      <c r="I82" s="44">
        <f>D82*'Monetized Values and Factors'!$O$34</f>
        <v>16883894.73946334</v>
      </c>
      <c r="J82" s="44">
        <f>E82*'Monetized Values and Factors'!$O$35</f>
        <v>21618133.572608434</v>
      </c>
      <c r="K82" s="44">
        <f>F82*'Monetized Values and Factors'!$O$36</f>
        <v>29999.19299212089</v>
      </c>
      <c r="L82" s="45">
        <f>G82*'Monetized Values and Factors'!$O$33</f>
        <v>2838.8715084582213</v>
      </c>
    </row>
    <row r="83" spans="1:12" x14ac:dyDescent="0.25">
      <c r="A83" s="39">
        <v>2051</v>
      </c>
      <c r="B83" s="4">
        <f>('VMT Ton-Mile Driver Time'!N41/'Monetized Values and Factors'!M$24)+('VMT Ton-Mile Driver Time'!N84/'Monetized Values and Factors'!$M$25)</f>
        <v>33872699.554761991</v>
      </c>
      <c r="C83" s="203">
        <f>((('VMT Ton-Mile Driver Time'!$J41*'Emissions - Truck'!AA44)+('VMT Ton-Mile Driver Time'!$K41*'Emissions - Truck'!AS44)+('VMT Ton-Mile Driver Time'!$L41*'Emissions - Truck'!BB44))/1000000)+('VMT Ton-Mile Driver Time'!$N84*'Emissions - Rail'!$C$3/1000000)</f>
        <v>161831.63744153979</v>
      </c>
      <c r="D83" s="203">
        <f>((('VMT Ton-Mile Driver Time'!$J41*'Emissions - Truck'!AB44)+('VMT Ton-Mile Driver Time'!$K41*'Emissions - Truck'!AT44)+('VMT Ton-Mile Driver Time'!$L41*'Emissions - Truck'!BC44))/1000000)+('VMT Ton-Mile Driver Time'!$N84*'Emissions - Rail'!$D$3/1000000)</f>
        <v>2041.5680970062062</v>
      </c>
      <c r="E83" s="203">
        <f>((('VMT Ton-Mile Driver Time'!$J41*'Emissions - Truck'!AC44)+('VMT Ton-Mile Driver Time'!$K41*'Emissions - Truck'!AU44)+('VMT Ton-Mile Driver Time'!$L41*'Emissions - Truck'!BD44))/1000000)+('VMT Ton-Mile Driver Time'!$N84*'Emissions - Rail'!$E$3/1000000)</f>
        <v>57.145270112622981</v>
      </c>
      <c r="F83" s="43">
        <f>((('VMT Ton-Mile Driver Time'!$J41*'Emissions - Truck'!AD44)+('VMT Ton-Mile Driver Time'!$K41*'Emissions - Truck'!AV44)+('VMT Ton-Mile Driver Time'!$L41*'Emissions - Truck'!BE44))/1000000)</f>
        <v>0.61377087846900003</v>
      </c>
      <c r="G83" s="203">
        <f>((('VMT Ton-Mile Driver Time'!$J41*'Emissions - Truck'!AE44)+('VMT Ton-Mile Driver Time'!$K41*'Emissions - Truck'!AW44)+('VMT Ton-Mile Driver Time'!$L41*'Emissions - Truck'!BF44))/1000000)</f>
        <v>1.3529017378870003</v>
      </c>
      <c r="H83" s="44">
        <f>C83*'Monetized Values and Factors'!N81</f>
        <v>0</v>
      </c>
      <c r="I83" s="44">
        <f>D83*'Monetized Values and Factors'!$O$34</f>
        <v>16883894.73946334</v>
      </c>
      <c r="J83" s="44">
        <f>E83*'Monetized Values and Factors'!$O$35</f>
        <v>21618133.572608434</v>
      </c>
      <c r="K83" s="44">
        <f>F83*'Monetized Values and Factors'!$O$36</f>
        <v>29999.19299212089</v>
      </c>
      <c r="L83" s="45">
        <f>G83*'Monetized Values and Factors'!$O$33</f>
        <v>2838.8715084582213</v>
      </c>
    </row>
    <row r="84" spans="1:12" ht="15.75" thickBot="1" x14ac:dyDescent="0.3">
      <c r="A84" s="46" t="s">
        <v>2</v>
      </c>
      <c r="B84" s="47">
        <f t="shared" ref="B84:L84" si="1">SUM(B46:B83)</f>
        <v>829649134.30019808</v>
      </c>
      <c r="C84" s="47">
        <f t="shared" si="1"/>
        <v>3984527.2671457976</v>
      </c>
      <c r="D84" s="47">
        <f t="shared" si="1"/>
        <v>50129.982293237328</v>
      </c>
      <c r="E84" s="47">
        <f t="shared" si="1"/>
        <v>1401.4479322424725</v>
      </c>
      <c r="F84" s="47">
        <f t="shared" si="1"/>
        <v>15.252310991907652</v>
      </c>
      <c r="G84" s="47">
        <f t="shared" si="1"/>
        <v>40.134682129861396</v>
      </c>
      <c r="H84" s="207">
        <f t="shared" si="1"/>
        <v>0</v>
      </c>
      <c r="I84" s="207">
        <f t="shared" si="1"/>
        <v>414578061.62397456</v>
      </c>
      <c r="J84" s="207">
        <f t="shared" si="1"/>
        <v>530169662.94085884</v>
      </c>
      <c r="K84" s="207">
        <f t="shared" si="1"/>
        <v>745485.06140177592</v>
      </c>
      <c r="L84" s="208">
        <f t="shared" si="1"/>
        <v>84216.911257310639</v>
      </c>
    </row>
    <row r="85" spans="1:12" ht="15.75" thickBot="1" x14ac:dyDescent="0.3"/>
    <row r="86" spans="1:12" ht="19.5" thickBot="1" x14ac:dyDescent="0.35">
      <c r="A86" s="510" t="s">
        <v>248</v>
      </c>
      <c r="B86" s="511"/>
      <c r="C86" s="511"/>
      <c r="D86" s="511"/>
      <c r="E86" s="511"/>
      <c r="F86" s="511"/>
      <c r="G86" s="511"/>
      <c r="H86" s="511"/>
      <c r="I86" s="511"/>
      <c r="J86" s="511"/>
      <c r="K86" s="511"/>
      <c r="L86" s="512"/>
    </row>
    <row r="87" spans="1:12" ht="60" x14ac:dyDescent="0.25">
      <c r="A87" s="20" t="s">
        <v>3</v>
      </c>
      <c r="B87" s="172" t="s">
        <v>102</v>
      </c>
      <c r="C87" s="172" t="s">
        <v>286</v>
      </c>
      <c r="D87" s="172" t="s">
        <v>69</v>
      </c>
      <c r="E87" s="172" t="s">
        <v>288</v>
      </c>
      <c r="F87" s="172" t="s">
        <v>239</v>
      </c>
      <c r="G87" s="172" t="s">
        <v>68</v>
      </c>
      <c r="H87" s="172" t="s">
        <v>429</v>
      </c>
      <c r="I87" s="172" t="s">
        <v>430</v>
      </c>
      <c r="J87" s="172" t="s">
        <v>431</v>
      </c>
      <c r="K87" s="172" t="s">
        <v>432</v>
      </c>
      <c r="L87" s="173" t="s">
        <v>433</v>
      </c>
    </row>
    <row r="88" spans="1:12" x14ac:dyDescent="0.25">
      <c r="A88" s="39">
        <v>2014</v>
      </c>
      <c r="B88" s="4">
        <f t="shared" ref="B88:G97" si="2">B46-B4</f>
        <v>0</v>
      </c>
      <c r="C88" s="4">
        <f t="shared" si="2"/>
        <v>0</v>
      </c>
      <c r="D88" s="4">
        <f t="shared" si="2"/>
        <v>0</v>
      </c>
      <c r="E88" s="4">
        <f t="shared" si="2"/>
        <v>0</v>
      </c>
      <c r="F88" s="4">
        <f t="shared" si="2"/>
        <v>0</v>
      </c>
      <c r="G88" s="4">
        <f t="shared" si="2"/>
        <v>0</v>
      </c>
      <c r="H88" s="44">
        <f>C88*'Monetized Values and Factors'!N44</f>
        <v>0</v>
      </c>
      <c r="I88" s="44">
        <f>D88*'Monetized Values and Factors'!$O$34</f>
        <v>0</v>
      </c>
      <c r="J88" s="44">
        <f>E88*'Monetized Values and Factors'!$O$35</f>
        <v>0</v>
      </c>
      <c r="K88" s="44">
        <f>F88*'Monetized Values and Factors'!$O$36</f>
        <v>0</v>
      </c>
      <c r="L88" s="45">
        <f>G88*'Monetized Values and Factors'!$O$33</f>
        <v>0</v>
      </c>
    </row>
    <row r="89" spans="1:12" x14ac:dyDescent="0.25">
      <c r="A89" s="39">
        <v>2015</v>
      </c>
      <c r="B89" s="4">
        <f t="shared" si="2"/>
        <v>0</v>
      </c>
      <c r="C89" s="4">
        <f t="shared" si="2"/>
        <v>0</v>
      </c>
      <c r="D89" s="4">
        <f t="shared" si="2"/>
        <v>0</v>
      </c>
      <c r="E89" s="4">
        <f t="shared" si="2"/>
        <v>0</v>
      </c>
      <c r="F89" s="4">
        <f t="shared" si="2"/>
        <v>0</v>
      </c>
      <c r="G89" s="4">
        <f t="shared" si="2"/>
        <v>0</v>
      </c>
      <c r="H89" s="44">
        <f>C89*'Monetized Values and Factors'!N45</f>
        <v>0</v>
      </c>
      <c r="I89" s="44">
        <f>D89*'Monetized Values and Factors'!$O$34</f>
        <v>0</v>
      </c>
      <c r="J89" s="44">
        <f>E89*'Monetized Values and Factors'!$O$35</f>
        <v>0</v>
      </c>
      <c r="K89" s="44">
        <f>F89*'Monetized Values and Factors'!$O$36</f>
        <v>0</v>
      </c>
      <c r="L89" s="45">
        <f>G89*'Monetized Values and Factors'!$O$33</f>
        <v>0</v>
      </c>
    </row>
    <row r="90" spans="1:12" x14ac:dyDescent="0.25">
      <c r="A90" s="39">
        <v>2016</v>
      </c>
      <c r="B90" s="4">
        <f t="shared" si="2"/>
        <v>0</v>
      </c>
      <c r="C90" s="4">
        <f t="shared" si="2"/>
        <v>0</v>
      </c>
      <c r="D90" s="4">
        <f t="shared" si="2"/>
        <v>0</v>
      </c>
      <c r="E90" s="4">
        <f t="shared" si="2"/>
        <v>0</v>
      </c>
      <c r="F90" s="4">
        <f t="shared" si="2"/>
        <v>0</v>
      </c>
      <c r="G90" s="4">
        <f t="shared" si="2"/>
        <v>0</v>
      </c>
      <c r="H90" s="44">
        <f>C90*'Monetized Values and Factors'!N46</f>
        <v>0</v>
      </c>
      <c r="I90" s="44">
        <f>D90*'Monetized Values and Factors'!$O$34</f>
        <v>0</v>
      </c>
      <c r="J90" s="44">
        <f>E90*'Monetized Values and Factors'!$O$35</f>
        <v>0</v>
      </c>
      <c r="K90" s="44">
        <f>F90*'Monetized Values and Factors'!$O$36</f>
        <v>0</v>
      </c>
      <c r="L90" s="45">
        <f>G90*'Monetized Values and Factors'!$O$33</f>
        <v>0</v>
      </c>
    </row>
    <row r="91" spans="1:12" x14ac:dyDescent="0.25">
      <c r="A91" s="39">
        <v>2017</v>
      </c>
      <c r="B91" s="4">
        <f t="shared" si="2"/>
        <v>0</v>
      </c>
      <c r="C91" s="4">
        <f t="shared" si="2"/>
        <v>0</v>
      </c>
      <c r="D91" s="4">
        <f t="shared" si="2"/>
        <v>0</v>
      </c>
      <c r="E91" s="4">
        <f t="shared" si="2"/>
        <v>0</v>
      </c>
      <c r="F91" s="4">
        <f t="shared" si="2"/>
        <v>0</v>
      </c>
      <c r="G91" s="4">
        <f t="shared" si="2"/>
        <v>0</v>
      </c>
      <c r="H91" s="44">
        <f>C91*'Monetized Values and Factors'!N47</f>
        <v>0</v>
      </c>
      <c r="I91" s="44">
        <f>D91*'Monetized Values and Factors'!$O$34</f>
        <v>0</v>
      </c>
      <c r="J91" s="44">
        <f>E91*'Monetized Values and Factors'!$O$35</f>
        <v>0</v>
      </c>
      <c r="K91" s="44">
        <f>F91*'Monetized Values and Factors'!$O$36</f>
        <v>0</v>
      </c>
      <c r="L91" s="45">
        <f>G91*'Monetized Values and Factors'!$O$33</f>
        <v>0</v>
      </c>
    </row>
    <row r="92" spans="1:12" x14ac:dyDescent="0.25">
      <c r="A92" s="39">
        <v>2018</v>
      </c>
      <c r="B92" s="4">
        <f t="shared" si="2"/>
        <v>0</v>
      </c>
      <c r="C92" s="4">
        <f t="shared" si="2"/>
        <v>0</v>
      </c>
      <c r="D92" s="4">
        <f t="shared" si="2"/>
        <v>0</v>
      </c>
      <c r="E92" s="4">
        <f t="shared" si="2"/>
        <v>0</v>
      </c>
      <c r="F92" s="4">
        <f t="shared" si="2"/>
        <v>0</v>
      </c>
      <c r="G92" s="4">
        <f t="shared" si="2"/>
        <v>0</v>
      </c>
      <c r="H92" s="44">
        <f>C92*'Monetized Values and Factors'!N48</f>
        <v>0</v>
      </c>
      <c r="I92" s="44">
        <f>D92*'Monetized Values and Factors'!$O$34</f>
        <v>0</v>
      </c>
      <c r="J92" s="44">
        <f>E92*'Monetized Values and Factors'!$O$35</f>
        <v>0</v>
      </c>
      <c r="K92" s="44">
        <f>F92*'Monetized Values and Factors'!$O$36</f>
        <v>0</v>
      </c>
      <c r="L92" s="45">
        <f>G92*'Monetized Values and Factors'!$O$33</f>
        <v>0</v>
      </c>
    </row>
    <row r="93" spans="1:12" x14ac:dyDescent="0.25">
      <c r="A93" s="39">
        <v>2019</v>
      </c>
      <c r="B93" s="4">
        <f t="shared" si="2"/>
        <v>0</v>
      </c>
      <c r="C93" s="4">
        <f t="shared" si="2"/>
        <v>0</v>
      </c>
      <c r="D93" s="4">
        <f t="shared" si="2"/>
        <v>0</v>
      </c>
      <c r="E93" s="4">
        <f t="shared" si="2"/>
        <v>0</v>
      </c>
      <c r="F93" s="4">
        <f t="shared" si="2"/>
        <v>0</v>
      </c>
      <c r="G93" s="4">
        <f t="shared" si="2"/>
        <v>0</v>
      </c>
      <c r="H93" s="44">
        <f>C93*'Monetized Values and Factors'!N49</f>
        <v>0</v>
      </c>
      <c r="I93" s="44">
        <f>D93*'Monetized Values and Factors'!$O$34</f>
        <v>0</v>
      </c>
      <c r="J93" s="44">
        <f>E93*'Monetized Values and Factors'!$O$35</f>
        <v>0</v>
      </c>
      <c r="K93" s="44">
        <f>F93*'Monetized Values and Factors'!$O$36</f>
        <v>0</v>
      </c>
      <c r="L93" s="45">
        <f>G93*'Monetized Values and Factors'!$O$33</f>
        <v>0</v>
      </c>
    </row>
    <row r="94" spans="1:12" x14ac:dyDescent="0.25">
      <c r="A94" s="39">
        <v>2020</v>
      </c>
      <c r="B94" s="4">
        <f t="shared" si="2"/>
        <v>0</v>
      </c>
      <c r="C94" s="4">
        <f t="shared" si="2"/>
        <v>0</v>
      </c>
      <c r="D94" s="4">
        <f t="shared" si="2"/>
        <v>0</v>
      </c>
      <c r="E94" s="4">
        <f t="shared" si="2"/>
        <v>0</v>
      </c>
      <c r="F94" s="4">
        <f t="shared" si="2"/>
        <v>0</v>
      </c>
      <c r="G94" s="4">
        <f t="shared" si="2"/>
        <v>0</v>
      </c>
      <c r="H94" s="44">
        <f>C94*'Monetized Values and Factors'!N50</f>
        <v>0</v>
      </c>
      <c r="I94" s="44">
        <f>D94*'Monetized Values and Factors'!$O$34</f>
        <v>0</v>
      </c>
      <c r="J94" s="44">
        <f>E94*'Monetized Values and Factors'!$O$35</f>
        <v>0</v>
      </c>
      <c r="K94" s="44">
        <f>F94*'Monetized Values and Factors'!$O$36</f>
        <v>0</v>
      </c>
      <c r="L94" s="45">
        <f>G94*'Monetized Values and Factors'!$O$33</f>
        <v>0</v>
      </c>
    </row>
    <row r="95" spans="1:12" x14ac:dyDescent="0.25">
      <c r="A95" s="39">
        <v>2021</v>
      </c>
      <c r="B95" s="4">
        <f t="shared" si="2"/>
        <v>0</v>
      </c>
      <c r="C95" s="4">
        <f t="shared" si="2"/>
        <v>0</v>
      </c>
      <c r="D95" s="4">
        <f t="shared" si="2"/>
        <v>0</v>
      </c>
      <c r="E95" s="4">
        <f t="shared" si="2"/>
        <v>0</v>
      </c>
      <c r="F95" s="4">
        <f t="shared" si="2"/>
        <v>0</v>
      </c>
      <c r="G95" s="4">
        <f t="shared" si="2"/>
        <v>0</v>
      </c>
      <c r="H95" s="44">
        <f>C95*'Monetized Values and Factors'!N51</f>
        <v>0</v>
      </c>
      <c r="I95" s="44">
        <f>D95*'Monetized Values and Factors'!$O$34</f>
        <v>0</v>
      </c>
      <c r="J95" s="44">
        <f>E95*'Monetized Values and Factors'!$O$35</f>
        <v>0</v>
      </c>
      <c r="K95" s="44">
        <f>F95*'Monetized Values and Factors'!$O$36</f>
        <v>0</v>
      </c>
      <c r="L95" s="45">
        <f>G95*'Monetized Values and Factors'!$O$33</f>
        <v>0</v>
      </c>
    </row>
    <row r="96" spans="1:12" x14ac:dyDescent="0.25">
      <c r="A96" s="39">
        <v>2022</v>
      </c>
      <c r="B96" s="4">
        <f t="shared" si="2"/>
        <v>1524155.3738006344</v>
      </c>
      <c r="C96" s="4">
        <f t="shared" si="2"/>
        <v>7782.912204729595</v>
      </c>
      <c r="D96" s="4">
        <f t="shared" si="2"/>
        <v>107.96866910435244</v>
      </c>
      <c r="E96" s="4">
        <f t="shared" si="2"/>
        <v>2.9996059465245417</v>
      </c>
      <c r="F96" s="4">
        <f t="shared" si="2"/>
        <v>2.6181593509717119E-2</v>
      </c>
      <c r="G96" s="4">
        <f t="shared" si="2"/>
        <v>0.17226426391948962</v>
      </c>
      <c r="H96" s="44">
        <f>C96*'Monetized Values and Factors'!N52</f>
        <v>0</v>
      </c>
      <c r="I96" s="44">
        <f>D96*'Monetized Values and Factors'!$O$34</f>
        <v>892907.58755047922</v>
      </c>
      <c r="J96" s="44">
        <f>E96*'Monetized Values and Factors'!$O$35</f>
        <v>1134755.0180331392</v>
      </c>
      <c r="K96" s="44">
        <f>F96*'Monetized Values and Factors'!$O$36</f>
        <v>1279.6740674605555</v>
      </c>
      <c r="L96" s="45">
        <f>G96*'Monetized Values and Factors'!$O$33</f>
        <v>361.47201017744044</v>
      </c>
    </row>
    <row r="97" spans="1:12" x14ac:dyDescent="0.25">
      <c r="A97" s="39">
        <v>2023</v>
      </c>
      <c r="B97" s="4">
        <f t="shared" si="2"/>
        <v>3048310.7476012688</v>
      </c>
      <c r="C97" s="4">
        <f t="shared" si="2"/>
        <v>15520.869927541902</v>
      </c>
      <c r="D97" s="4">
        <f t="shared" si="2"/>
        <v>215.37909709601138</v>
      </c>
      <c r="E97" s="4">
        <f t="shared" si="2"/>
        <v>5.9902362476847548</v>
      </c>
      <c r="F97" s="4">
        <f t="shared" si="2"/>
        <v>5.1887045240157172E-2</v>
      </c>
      <c r="G97" s="4">
        <f t="shared" si="2"/>
        <v>0.31604122719748096</v>
      </c>
      <c r="H97" s="44">
        <f>C97*'Monetized Values and Factors'!N53</f>
        <v>0</v>
      </c>
      <c r="I97" s="44">
        <f>D97*'Monetized Values and Factors'!$O$34</f>
        <v>1781198.486488034</v>
      </c>
      <c r="J97" s="44">
        <f>E97*'Monetized Values and Factors'!$O$35</f>
        <v>2266114.5371911479</v>
      </c>
      <c r="K97" s="44">
        <f>F97*'Monetized Values and Factors'!$O$36</f>
        <v>2536.0758200733057</v>
      </c>
      <c r="L97" s="45">
        <f>G97*'Monetized Values and Factors'!$O$33</f>
        <v>663.16747939903814</v>
      </c>
    </row>
    <row r="98" spans="1:12" x14ac:dyDescent="0.25">
      <c r="A98" s="39">
        <v>2024</v>
      </c>
      <c r="B98" s="4">
        <f t="shared" ref="B98:G107" si="3">B56-B14</f>
        <v>4572466.1214019023</v>
      </c>
      <c r="C98" s="4">
        <f t="shared" si="3"/>
        <v>23214.528348975167</v>
      </c>
      <c r="D98" s="4">
        <f t="shared" si="3"/>
        <v>322.317799923027</v>
      </c>
      <c r="E98" s="4">
        <f t="shared" si="3"/>
        <v>8.9733587815314593</v>
      </c>
      <c r="F98" s="4">
        <f t="shared" si="3"/>
        <v>7.7123753147584406E-2</v>
      </c>
      <c r="G98" s="4">
        <f t="shared" si="3"/>
        <v>0.43487380345842402</v>
      </c>
      <c r="H98" s="44">
        <f>C98*'Monetized Values and Factors'!N54</f>
        <v>0</v>
      </c>
      <c r="I98" s="44">
        <f>D98*'Monetized Values and Factors'!$O$34</f>
        <v>2665588.1890670285</v>
      </c>
      <c r="J98" s="44">
        <f>E98*'Monetized Values and Factors'!$O$35</f>
        <v>3394633.8577413699</v>
      </c>
      <c r="K98" s="44">
        <f>F98*'Monetized Values and Factors'!$O$36</f>
        <v>3769.5668467071655</v>
      </c>
      <c r="L98" s="45">
        <f>G98*'Monetized Values and Factors'!$O$33</f>
        <v>912.52070704051005</v>
      </c>
    </row>
    <row r="99" spans="1:12" x14ac:dyDescent="0.25">
      <c r="A99" s="39">
        <v>2025</v>
      </c>
      <c r="B99" s="4">
        <f t="shared" si="3"/>
        <v>6096621.4952025376</v>
      </c>
      <c r="C99" s="4">
        <f t="shared" si="3"/>
        <v>30864.534086346277</v>
      </c>
      <c r="D99" s="4">
        <f t="shared" si="3"/>
        <v>428.85939037118112</v>
      </c>
      <c r="E99" s="4">
        <f t="shared" si="3"/>
        <v>11.950227899491711</v>
      </c>
      <c r="F99" s="4">
        <f t="shared" si="3"/>
        <v>0.10189901163868863</v>
      </c>
      <c r="G99" s="4">
        <f t="shared" si="3"/>
        <v>0.53191233120775072</v>
      </c>
      <c r="H99" s="44">
        <f>C99*'Monetized Values and Factors'!N55</f>
        <v>0</v>
      </c>
      <c r="I99" s="44">
        <f>D99*'Monetized Values and Factors'!$O$34</f>
        <v>3546693.7476518708</v>
      </c>
      <c r="J99" s="44">
        <f>E99*'Monetized Values and Factors'!$O$35</f>
        <v>4520787.5025383411</v>
      </c>
      <c r="K99" s="44">
        <f>F99*'Monetized Values and Factors'!$O$36</f>
        <v>4980.5036750530489</v>
      </c>
      <c r="L99" s="45">
        <f>G99*'Monetized Values and Factors'!$O$33</f>
        <v>1116.1422295322677</v>
      </c>
    </row>
    <row r="100" spans="1:12" x14ac:dyDescent="0.25">
      <c r="A100" s="39">
        <v>2026</v>
      </c>
      <c r="B100" s="4">
        <f t="shared" si="3"/>
        <v>7620776.8690031711</v>
      </c>
      <c r="C100" s="4">
        <f t="shared" si="3"/>
        <v>38471.525297199529</v>
      </c>
      <c r="D100" s="4">
        <f t="shared" si="3"/>
        <v>535.06811126347407</v>
      </c>
      <c r="E100" s="4">
        <f t="shared" si="3"/>
        <v>14.921913566260837</v>
      </c>
      <c r="F100" s="4">
        <f t="shared" si="3"/>
        <v>0.12622001291413409</v>
      </c>
      <c r="G100" s="4">
        <f t="shared" si="3"/>
        <v>0.60995543339199121</v>
      </c>
      <c r="H100" s="44">
        <f>C100*'Monetized Values and Factors'!N56</f>
        <v>0</v>
      </c>
      <c r="I100" s="44">
        <f>D100*'Monetized Values and Factors'!$O$34</f>
        <v>4425046.4543718286</v>
      </c>
      <c r="J100" s="44">
        <f>E100*'Monetized Values and Factors'!$O$35</f>
        <v>5644980.2406846648</v>
      </c>
      <c r="K100" s="44">
        <f>F100*'Monetized Values and Factors'!$O$36</f>
        <v>6169.2378372923176</v>
      </c>
      <c r="L100" s="45">
        <f>G100*'Monetized Values and Factors'!$O$33</f>
        <v>1279.9045583238353</v>
      </c>
    </row>
    <row r="101" spans="1:12" x14ac:dyDescent="0.25">
      <c r="A101" s="39">
        <v>2027</v>
      </c>
      <c r="B101" s="4">
        <f t="shared" si="3"/>
        <v>9144932.2428038046</v>
      </c>
      <c r="C101" s="4">
        <f t="shared" si="3"/>
        <v>46036.13178157236</v>
      </c>
      <c r="D101" s="4">
        <f t="shared" si="3"/>
        <v>640.99917935812834</v>
      </c>
      <c r="E101" s="4">
        <f t="shared" si="3"/>
        <v>17.88932667930769</v>
      </c>
      <c r="F101" s="4">
        <f t="shared" si="3"/>
        <v>0.15009384829558539</v>
      </c>
      <c r="G101" s="4">
        <f t="shared" si="3"/>
        <v>0.67148678789463545</v>
      </c>
      <c r="H101" s="44">
        <f>C101*'Monetized Values and Factors'!N57</f>
        <v>0</v>
      </c>
      <c r="I101" s="44">
        <f>D101*'Monetized Values and Factors'!$O$34</f>
        <v>5301102.955240842</v>
      </c>
      <c r="J101" s="44">
        <f>E101*'Monetized Values and Factors'!$O$35</f>
        <v>6767556.6659343624</v>
      </c>
      <c r="K101" s="44">
        <f>F101*'Monetized Values and Factors'!$O$36</f>
        <v>7336.115934957641</v>
      </c>
      <c r="L101" s="45">
        <f>G101*'Monetized Values and Factors'!$O$33</f>
        <v>1409.0193375296176</v>
      </c>
    </row>
    <row r="102" spans="1:12" x14ac:dyDescent="0.25">
      <c r="A102" s="39">
        <v>2028</v>
      </c>
      <c r="B102" s="4">
        <f t="shared" si="3"/>
        <v>12193242.990405075</v>
      </c>
      <c r="C102" s="4">
        <f t="shared" si="3"/>
        <v>61210.25723781791</v>
      </c>
      <c r="D102" s="4">
        <f t="shared" si="3"/>
        <v>853.37138586455103</v>
      </c>
      <c r="E102" s="4">
        <f t="shared" si="3"/>
        <v>23.832275491782912</v>
      </c>
      <c r="F102" s="4">
        <f t="shared" si="3"/>
        <v>0.19831715375589173</v>
      </c>
      <c r="G102" s="4">
        <f t="shared" si="3"/>
        <v>0.82138080837561567</v>
      </c>
      <c r="H102" s="44">
        <f>C102*'Monetized Values and Factors'!N58</f>
        <v>0</v>
      </c>
      <c r="I102" s="44">
        <f>D102*'Monetized Values and Factors'!$O$34</f>
        <v>7057434.2701257607</v>
      </c>
      <c r="J102" s="44">
        <f>E102*'Monetized Values and Factors'!$O$35</f>
        <v>9015782.3019329701</v>
      </c>
      <c r="K102" s="44">
        <f>F102*'Monetized Values and Factors'!$O$36</f>
        <v>9693.1196605666173</v>
      </c>
      <c r="L102" s="45">
        <f>G102*'Monetized Values and Factors'!$O$33</f>
        <v>1723.550579611036</v>
      </c>
    </row>
    <row r="103" spans="1:12" x14ac:dyDescent="0.25">
      <c r="A103" s="39">
        <v>2029</v>
      </c>
      <c r="B103" s="4">
        <f t="shared" si="3"/>
        <v>15241553.738006342</v>
      </c>
      <c r="C103" s="4">
        <f t="shared" si="3"/>
        <v>76300.83573613326</v>
      </c>
      <c r="D103" s="4">
        <f t="shared" si="3"/>
        <v>1065.2637637169998</v>
      </c>
      <c r="E103" s="4">
        <f t="shared" si="3"/>
        <v>29.767890637374649</v>
      </c>
      <c r="F103" s="4">
        <f t="shared" si="3"/>
        <v>0.24565986264527198</v>
      </c>
      <c r="G103" s="4">
        <f t="shared" si="3"/>
        <v>0.94196173553891072</v>
      </c>
      <c r="H103" s="44">
        <f>C103*'Monetized Values and Factors'!N59</f>
        <v>0</v>
      </c>
      <c r="I103" s="44">
        <f>D103*'Monetized Values and Factors'!$O$34</f>
        <v>8809797.3722929396</v>
      </c>
      <c r="J103" s="44">
        <f>E103*'Monetized Values and Factors'!$O$35</f>
        <v>11261233.601753768</v>
      </c>
      <c r="K103" s="44">
        <f>F103*'Monetized Values and Factors'!$O$36</f>
        <v>12007.082591302256</v>
      </c>
      <c r="L103" s="45">
        <f>G103*'Monetized Values and Factors'!$O$33</f>
        <v>1976.57247248109</v>
      </c>
    </row>
    <row r="104" spans="1:12" x14ac:dyDescent="0.25">
      <c r="A104" s="39">
        <v>2030</v>
      </c>
      <c r="B104" s="4">
        <f t="shared" si="3"/>
        <v>18289864.485607609</v>
      </c>
      <c r="C104" s="4">
        <f t="shared" si="3"/>
        <v>91309.090171322794</v>
      </c>
      <c r="D104" s="4">
        <f t="shared" si="3"/>
        <v>1276.7559439625875</v>
      </c>
      <c r="E104" s="4">
        <f t="shared" si="3"/>
        <v>35.697460538221428</v>
      </c>
      <c r="F104" s="4">
        <f t="shared" si="3"/>
        <v>0.29213571535937016</v>
      </c>
      <c r="G104" s="4">
        <f t="shared" si="3"/>
        <v>1.0370595425215261</v>
      </c>
      <c r="H104" s="44">
        <f>C104*'Monetized Values and Factors'!N60</f>
        <v>0</v>
      </c>
      <c r="I104" s="44">
        <f>D104*'Monetized Values and Factors'!$O$34</f>
        <v>10558850.815439124</v>
      </c>
      <c r="J104" s="44">
        <f>E104*'Monetized Values and Factors'!$O$35</f>
        <v>13504397.977247879</v>
      </c>
      <c r="K104" s="44">
        <f>F104*'Monetized Values and Factors'!$O$36</f>
        <v>14278.676314551927</v>
      </c>
      <c r="L104" s="45">
        <f>G104*'Monetized Values and Factors'!$O$33</f>
        <v>2176.1216689966132</v>
      </c>
    </row>
    <row r="105" spans="1:12" x14ac:dyDescent="0.25">
      <c r="A105" s="39">
        <v>2031</v>
      </c>
      <c r="B105" s="4">
        <f t="shared" si="3"/>
        <v>22252668.457489267</v>
      </c>
      <c r="C105" s="4">
        <f t="shared" si="3"/>
        <v>110789.20857409811</v>
      </c>
      <c r="D105" s="4">
        <f t="shared" si="3"/>
        <v>1551.6840716908478</v>
      </c>
      <c r="E105" s="4">
        <f t="shared" si="3"/>
        <v>43.405883191571057</v>
      </c>
      <c r="F105" s="4">
        <f t="shared" si="3"/>
        <v>0.35223361326793701</v>
      </c>
      <c r="G105" s="4">
        <f t="shared" si="3"/>
        <v>1.1576442232367992</v>
      </c>
      <c r="H105" s="44">
        <f>C105*'Monetized Values and Factors'!N61</f>
        <v>0</v>
      </c>
      <c r="I105" s="44">
        <f>D105*'Monetized Values and Factors'!$O$34</f>
        <v>12832523.477295756</v>
      </c>
      <c r="J105" s="44">
        <f>E105*'Monetized Values and Factors'!$O$35</f>
        <v>16420504.77359012</v>
      </c>
      <c r="K105" s="44">
        <f>F105*'Monetized Values and Factors'!$O$36</f>
        <v>17216.072826874293</v>
      </c>
      <c r="L105" s="45">
        <f>G105*'Monetized Values and Factors'!$O$33</f>
        <v>2429.1514381606121</v>
      </c>
    </row>
    <row r="106" spans="1:12" x14ac:dyDescent="0.25">
      <c r="A106" s="39">
        <v>2032</v>
      </c>
      <c r="B106" s="4">
        <f t="shared" si="3"/>
        <v>22252668.457489267</v>
      </c>
      <c r="C106" s="4">
        <f t="shared" si="3"/>
        <v>110488.63757093356</v>
      </c>
      <c r="D106" s="4">
        <f t="shared" si="3"/>
        <v>1550.1578297528829</v>
      </c>
      <c r="E106" s="4">
        <f t="shared" si="3"/>
        <v>43.382691894512135</v>
      </c>
      <c r="F106" s="4">
        <f t="shared" si="3"/>
        <v>0.34906852688018952</v>
      </c>
      <c r="G106" s="4">
        <f t="shared" si="3"/>
        <v>1.0621495606307054</v>
      </c>
      <c r="H106" s="44">
        <f>C106*'Monetized Values and Factors'!N62</f>
        <v>0</v>
      </c>
      <c r="I106" s="44">
        <f>D106*'Monetized Values and Factors'!$O$34</f>
        <v>12819901.361841787</v>
      </c>
      <c r="J106" s="44">
        <f>E106*'Monetized Values and Factors'!$O$35</f>
        <v>16411731.47430299</v>
      </c>
      <c r="K106" s="44">
        <f>F106*'Monetized Values and Factors'!$O$36</f>
        <v>17061.373344194995</v>
      </c>
      <c r="L106" s="45">
        <f>G106*'Monetized Values and Factors'!$O$33</f>
        <v>2228.7694966711456</v>
      </c>
    </row>
    <row r="107" spans="1:12" x14ac:dyDescent="0.25">
      <c r="A107" s="39">
        <v>2033</v>
      </c>
      <c r="B107" s="4">
        <f t="shared" si="3"/>
        <v>22252668.457489267</v>
      </c>
      <c r="C107" s="4">
        <f t="shared" si="3"/>
        <v>110190.98444730575</v>
      </c>
      <c r="D107" s="4">
        <f t="shared" si="3"/>
        <v>1548.7894804954908</v>
      </c>
      <c r="E107" s="4">
        <f t="shared" si="3"/>
        <v>43.36202724992566</v>
      </c>
      <c r="F107" s="4">
        <f t="shared" si="3"/>
        <v>0.3459361801834458</v>
      </c>
      <c r="G107" s="4">
        <f t="shared" si="3"/>
        <v>0.97455674650370383</v>
      </c>
      <c r="H107" s="44">
        <f>C107*'Monetized Values and Factors'!N63</f>
        <v>0</v>
      </c>
      <c r="I107" s="44">
        <f>D107*'Monetized Values and Factors'!$O$34</f>
        <v>12808585.028645499</v>
      </c>
      <c r="J107" s="44">
        <f>E107*'Monetized Values and Factors'!$O$35</f>
        <v>16403914.011090016</v>
      </c>
      <c r="K107" s="44">
        <f>F107*'Monetized Values and Factors'!$O$36</f>
        <v>16908.274074792964</v>
      </c>
      <c r="L107" s="45">
        <f>G107*'Monetized Values and Factors'!$O$33</f>
        <v>2044.9684582016457</v>
      </c>
    </row>
    <row r="108" spans="1:12" x14ac:dyDescent="0.25">
      <c r="A108" s="39">
        <v>2034</v>
      </c>
      <c r="B108" s="4">
        <f t="shared" ref="B108:G117" si="4">B66-B24</f>
        <v>22252668.457489267</v>
      </c>
      <c r="C108" s="4">
        <f t="shared" si="4"/>
        <v>109896.22056468717</v>
      </c>
      <c r="D108" s="4">
        <f t="shared" si="4"/>
        <v>1547.5627088519216</v>
      </c>
      <c r="E108" s="4">
        <f t="shared" si="4"/>
        <v>43.34361380886191</v>
      </c>
      <c r="F108" s="4">
        <f t="shared" si="4"/>
        <v>0.3428362291165275</v>
      </c>
      <c r="G108" s="4">
        <f t="shared" si="4"/>
        <v>0.89421020348798586</v>
      </c>
      <c r="H108" s="44">
        <f>C108*'Monetized Values and Factors'!N64</f>
        <v>0</v>
      </c>
      <c r="I108" s="44">
        <f>D108*'Monetized Values and Factors'!$O$34</f>
        <v>12798439.55109334</v>
      </c>
      <c r="J108" s="44">
        <f>E108*'Monetized Values and Factors'!$O$35</f>
        <v>16396948.181238079</v>
      </c>
      <c r="K108" s="44">
        <f>F108*'Monetized Values and Factors'!$O$36</f>
        <v>16756.758202038323</v>
      </c>
      <c r="L108" s="45">
        <f>G108*'Monetized Values and Factors'!$O$33</f>
        <v>1876.3726870655414</v>
      </c>
    </row>
    <row r="109" spans="1:12" x14ac:dyDescent="0.25">
      <c r="A109" s="39">
        <v>2035</v>
      </c>
      <c r="B109" s="4">
        <f t="shared" si="4"/>
        <v>22252668.457489267</v>
      </c>
      <c r="C109" s="4">
        <f t="shared" si="4"/>
        <v>109604.31756166393</v>
      </c>
      <c r="D109" s="4">
        <f t="shared" si="4"/>
        <v>1546.4628834510409</v>
      </c>
      <c r="E109" s="4">
        <f t="shared" si="4"/>
        <v>43.327206171158011</v>
      </c>
      <c r="F109" s="4">
        <f t="shared" si="4"/>
        <v>0.33976833319390165</v>
      </c>
      <c r="G109" s="4">
        <f t="shared" si="4"/>
        <v>0.8205088650063368</v>
      </c>
      <c r="H109" s="44">
        <f>C109*'Monetized Values and Factors'!N65</f>
        <v>0</v>
      </c>
      <c r="I109" s="44">
        <f>D109*'Monetized Values and Factors'!$O$34</f>
        <v>12789343.926838882</v>
      </c>
      <c r="J109" s="44">
        <f>E109*'Monetized Values and Factors'!$O$35</f>
        <v>16390741.149531085</v>
      </c>
      <c r="K109" s="44">
        <f>F109*'Monetized Values and Factors'!$O$36</f>
        <v>16606.809084067518</v>
      </c>
      <c r="L109" s="45">
        <f>G109*'Monetized Values and Factors'!$O$33</f>
        <v>1721.7209307025344</v>
      </c>
    </row>
    <row r="110" spans="1:12" x14ac:dyDescent="0.25">
      <c r="A110" s="39">
        <v>2036</v>
      </c>
      <c r="B110" s="4">
        <f t="shared" si="4"/>
        <v>22252668.457489267</v>
      </c>
      <c r="C110" s="4">
        <f t="shared" si="4"/>
        <v>109315.24735129179</v>
      </c>
      <c r="D110" s="4">
        <f t="shared" si="4"/>
        <v>1545.4768831007063</v>
      </c>
      <c r="E110" s="4">
        <f t="shared" si="4"/>
        <v>43.312585705122984</v>
      </c>
      <c r="F110" s="4">
        <f t="shared" si="4"/>
        <v>0.33673215546900004</v>
      </c>
      <c r="G110" s="4">
        <f t="shared" si="4"/>
        <v>0.75290163438700031</v>
      </c>
      <c r="H110" s="44">
        <f>C110*'Monetized Values and Factors'!N66</f>
        <v>0</v>
      </c>
      <c r="I110" s="44">
        <f>D110*'Monetized Values and Factors'!$O$34</f>
        <v>12781189.642809594</v>
      </c>
      <c r="J110" s="44">
        <f>E110*'Monetized Values and Factors'!$O$35</f>
        <v>16385210.207302339</v>
      </c>
      <c r="K110" s="44">
        <f>F110*'Monetized Values and Factors'!$O$36</f>
        <v>16458.41025199047</v>
      </c>
      <c r="L110" s="45">
        <f>G110*'Monetized Values and Factors'!$O$33</f>
        <v>1579.85679127822</v>
      </c>
    </row>
    <row r="111" spans="1:12" x14ac:dyDescent="0.25">
      <c r="A111" s="39">
        <v>2037</v>
      </c>
      <c r="B111" s="4">
        <f t="shared" si="4"/>
        <v>22252668.457489267</v>
      </c>
      <c r="C111" s="4">
        <f t="shared" si="4"/>
        <v>109315.24735129179</v>
      </c>
      <c r="D111" s="4">
        <f t="shared" si="4"/>
        <v>1545.4768831007063</v>
      </c>
      <c r="E111" s="4">
        <f t="shared" si="4"/>
        <v>43.312585705122984</v>
      </c>
      <c r="F111" s="4">
        <f t="shared" si="4"/>
        <v>0.33673215546900004</v>
      </c>
      <c r="G111" s="4">
        <f t="shared" si="4"/>
        <v>0.75290163438700031</v>
      </c>
      <c r="H111" s="44">
        <f>C111*'Monetized Values and Factors'!N67</f>
        <v>0</v>
      </c>
      <c r="I111" s="44">
        <f>D111*'Monetized Values and Factors'!$O$34</f>
        <v>12781189.642809594</v>
      </c>
      <c r="J111" s="44">
        <f>E111*'Monetized Values and Factors'!$O$35</f>
        <v>16385210.207302339</v>
      </c>
      <c r="K111" s="44">
        <f>F111*'Monetized Values and Factors'!$O$36</f>
        <v>16458.41025199047</v>
      </c>
      <c r="L111" s="45">
        <f>G111*'Monetized Values and Factors'!$O$33</f>
        <v>1579.85679127822</v>
      </c>
    </row>
    <row r="112" spans="1:12" x14ac:dyDescent="0.25">
      <c r="A112" s="39">
        <v>2038</v>
      </c>
      <c r="B112" s="4">
        <f t="shared" si="4"/>
        <v>22252668.457489267</v>
      </c>
      <c r="C112" s="4">
        <f t="shared" si="4"/>
        <v>109315.24735129179</v>
      </c>
      <c r="D112" s="4">
        <f t="shared" si="4"/>
        <v>1545.4768831007063</v>
      </c>
      <c r="E112" s="4">
        <f t="shared" si="4"/>
        <v>43.312585705122984</v>
      </c>
      <c r="F112" s="4">
        <f t="shared" si="4"/>
        <v>0.33673215546900004</v>
      </c>
      <c r="G112" s="4">
        <f t="shared" si="4"/>
        <v>0.75290163438700031</v>
      </c>
      <c r="H112" s="44">
        <f>C112*'Monetized Values and Factors'!N68</f>
        <v>0</v>
      </c>
      <c r="I112" s="44">
        <f>D112*'Monetized Values and Factors'!$O$34</f>
        <v>12781189.642809594</v>
      </c>
      <c r="J112" s="44">
        <f>E112*'Monetized Values and Factors'!$O$35</f>
        <v>16385210.207302339</v>
      </c>
      <c r="K112" s="44">
        <f>F112*'Monetized Values and Factors'!$O$36</f>
        <v>16458.41025199047</v>
      </c>
      <c r="L112" s="45">
        <f>G112*'Monetized Values and Factors'!$O$33</f>
        <v>1579.85679127822</v>
      </c>
    </row>
    <row r="113" spans="1:12" x14ac:dyDescent="0.25">
      <c r="A113" s="39">
        <v>2039</v>
      </c>
      <c r="B113" s="4">
        <f t="shared" si="4"/>
        <v>22252668.457489267</v>
      </c>
      <c r="C113" s="4">
        <f t="shared" si="4"/>
        <v>109315.24735129179</v>
      </c>
      <c r="D113" s="4">
        <f t="shared" si="4"/>
        <v>1545.4768831007063</v>
      </c>
      <c r="E113" s="4">
        <f t="shared" si="4"/>
        <v>43.312585705122984</v>
      </c>
      <c r="F113" s="4">
        <f t="shared" si="4"/>
        <v>0.33673215546900004</v>
      </c>
      <c r="G113" s="4">
        <f t="shared" si="4"/>
        <v>0.75290163438700031</v>
      </c>
      <c r="H113" s="44">
        <f>C113*'Monetized Values and Factors'!N69</f>
        <v>0</v>
      </c>
      <c r="I113" s="44">
        <f>D113*'Monetized Values and Factors'!$O$34</f>
        <v>12781189.642809594</v>
      </c>
      <c r="J113" s="44">
        <f>E113*'Monetized Values and Factors'!$O$35</f>
        <v>16385210.207302339</v>
      </c>
      <c r="K113" s="44">
        <f>F113*'Monetized Values and Factors'!$O$36</f>
        <v>16458.41025199047</v>
      </c>
      <c r="L113" s="45">
        <f>G113*'Monetized Values and Factors'!$O$33</f>
        <v>1579.85679127822</v>
      </c>
    </row>
    <row r="114" spans="1:12" x14ac:dyDescent="0.25">
      <c r="A114" s="39">
        <v>2040</v>
      </c>
      <c r="B114" s="4">
        <f t="shared" si="4"/>
        <v>22252668.457489267</v>
      </c>
      <c r="C114" s="4">
        <f t="shared" si="4"/>
        <v>109315.24735129179</v>
      </c>
      <c r="D114" s="4">
        <f t="shared" si="4"/>
        <v>1545.4768831007063</v>
      </c>
      <c r="E114" s="4">
        <f t="shared" si="4"/>
        <v>43.312585705122984</v>
      </c>
      <c r="F114" s="4">
        <f t="shared" si="4"/>
        <v>0.33673215546900004</v>
      </c>
      <c r="G114" s="4">
        <f t="shared" si="4"/>
        <v>0.75290163438700031</v>
      </c>
      <c r="H114" s="44">
        <f>C114*'Monetized Values and Factors'!N70</f>
        <v>0</v>
      </c>
      <c r="I114" s="44">
        <f>D114*'Monetized Values and Factors'!$O$34</f>
        <v>12781189.642809594</v>
      </c>
      <c r="J114" s="44">
        <f>E114*'Monetized Values and Factors'!$O$35</f>
        <v>16385210.207302339</v>
      </c>
      <c r="K114" s="44">
        <f>F114*'Monetized Values and Factors'!$O$36</f>
        <v>16458.41025199047</v>
      </c>
      <c r="L114" s="45">
        <f>G114*'Monetized Values and Factors'!$O$33</f>
        <v>1579.85679127822</v>
      </c>
    </row>
    <row r="115" spans="1:12" x14ac:dyDescent="0.25">
      <c r="A115" s="39">
        <v>2041</v>
      </c>
      <c r="B115" s="4">
        <f t="shared" si="4"/>
        <v>22252668.457489267</v>
      </c>
      <c r="C115" s="4">
        <f t="shared" si="4"/>
        <v>109315.24735129179</v>
      </c>
      <c r="D115" s="4">
        <f t="shared" si="4"/>
        <v>1545.4768831007063</v>
      </c>
      <c r="E115" s="4">
        <f t="shared" si="4"/>
        <v>43.312585705122984</v>
      </c>
      <c r="F115" s="4">
        <f t="shared" si="4"/>
        <v>0.33673215546900004</v>
      </c>
      <c r="G115" s="4">
        <f t="shared" si="4"/>
        <v>0.75290163438700031</v>
      </c>
      <c r="H115" s="44">
        <f>C115*'Monetized Values and Factors'!N71</f>
        <v>0</v>
      </c>
      <c r="I115" s="44">
        <f>D115*'Monetized Values and Factors'!$O$34</f>
        <v>12781189.642809594</v>
      </c>
      <c r="J115" s="44">
        <f>E115*'Monetized Values and Factors'!$O$35</f>
        <v>16385210.207302339</v>
      </c>
      <c r="K115" s="44">
        <f>F115*'Monetized Values and Factors'!$O$36</f>
        <v>16458.41025199047</v>
      </c>
      <c r="L115" s="45">
        <f>G115*'Monetized Values and Factors'!$O$33</f>
        <v>1579.85679127822</v>
      </c>
    </row>
    <row r="116" spans="1:12" x14ac:dyDescent="0.25">
      <c r="A116" s="39">
        <v>2042</v>
      </c>
      <c r="B116" s="4">
        <f t="shared" si="4"/>
        <v>22252668.457489267</v>
      </c>
      <c r="C116" s="4">
        <f t="shared" si="4"/>
        <v>109315.24735129179</v>
      </c>
      <c r="D116" s="4">
        <f t="shared" si="4"/>
        <v>1545.4768831007063</v>
      </c>
      <c r="E116" s="4">
        <f t="shared" si="4"/>
        <v>43.312585705122984</v>
      </c>
      <c r="F116" s="4">
        <f t="shared" si="4"/>
        <v>0.33673215546900004</v>
      </c>
      <c r="G116" s="4">
        <f t="shared" si="4"/>
        <v>0.75290163438700031</v>
      </c>
      <c r="H116" s="44">
        <f>C116*'Monetized Values and Factors'!N72</f>
        <v>0</v>
      </c>
      <c r="I116" s="44">
        <f>D116*'Monetized Values and Factors'!$O$34</f>
        <v>12781189.642809594</v>
      </c>
      <c r="J116" s="44">
        <f>E116*'Monetized Values and Factors'!$O$35</f>
        <v>16385210.207302339</v>
      </c>
      <c r="K116" s="44">
        <f>F116*'Monetized Values and Factors'!$O$36</f>
        <v>16458.41025199047</v>
      </c>
      <c r="L116" s="45">
        <f>G116*'Monetized Values and Factors'!$O$33</f>
        <v>1579.85679127822</v>
      </c>
    </row>
    <row r="117" spans="1:12" x14ac:dyDescent="0.25">
      <c r="A117" s="39">
        <v>2043</v>
      </c>
      <c r="B117" s="4">
        <f t="shared" si="4"/>
        <v>22252668.457489267</v>
      </c>
      <c r="C117" s="4">
        <f t="shared" si="4"/>
        <v>109315.24735129179</v>
      </c>
      <c r="D117" s="4">
        <f t="shared" si="4"/>
        <v>1545.4768831007063</v>
      </c>
      <c r="E117" s="4">
        <f t="shared" si="4"/>
        <v>43.312585705122984</v>
      </c>
      <c r="F117" s="4">
        <f t="shared" si="4"/>
        <v>0.33673215546900004</v>
      </c>
      <c r="G117" s="4">
        <f t="shared" si="4"/>
        <v>0.75290163438700031</v>
      </c>
      <c r="H117" s="44">
        <f>C117*'Monetized Values and Factors'!N73</f>
        <v>0</v>
      </c>
      <c r="I117" s="44">
        <f>D117*'Monetized Values and Factors'!$O$34</f>
        <v>12781189.642809594</v>
      </c>
      <c r="J117" s="44">
        <f>E117*'Monetized Values and Factors'!$O$35</f>
        <v>16385210.207302339</v>
      </c>
      <c r="K117" s="44">
        <f>F117*'Monetized Values and Factors'!$O$36</f>
        <v>16458.41025199047</v>
      </c>
      <c r="L117" s="45">
        <f>G117*'Monetized Values and Factors'!$O$33</f>
        <v>1579.85679127822</v>
      </c>
    </row>
    <row r="118" spans="1:12" x14ac:dyDescent="0.25">
      <c r="A118" s="39">
        <v>2044</v>
      </c>
      <c r="B118" s="4">
        <f t="shared" ref="B118:G125" si="5">B76-B34</f>
        <v>22252668.457489267</v>
      </c>
      <c r="C118" s="4">
        <f t="shared" si="5"/>
        <v>109315.24735129179</v>
      </c>
      <c r="D118" s="4">
        <f t="shared" si="5"/>
        <v>1545.4768831007063</v>
      </c>
      <c r="E118" s="4">
        <f t="shared" si="5"/>
        <v>43.312585705122984</v>
      </c>
      <c r="F118" s="4">
        <f t="shared" si="5"/>
        <v>0.33673215546900004</v>
      </c>
      <c r="G118" s="4">
        <f t="shared" si="5"/>
        <v>0.75290163438700031</v>
      </c>
      <c r="H118" s="44">
        <f>C118*'Monetized Values and Factors'!N74</f>
        <v>0</v>
      </c>
      <c r="I118" s="44">
        <f>D118*'Monetized Values and Factors'!$O$34</f>
        <v>12781189.642809594</v>
      </c>
      <c r="J118" s="44">
        <f>E118*'Monetized Values and Factors'!$O$35</f>
        <v>16385210.207302339</v>
      </c>
      <c r="K118" s="44">
        <f>F118*'Monetized Values and Factors'!$O$36</f>
        <v>16458.41025199047</v>
      </c>
      <c r="L118" s="45">
        <f>G118*'Monetized Values and Factors'!$O$33</f>
        <v>1579.85679127822</v>
      </c>
    </row>
    <row r="119" spans="1:12" x14ac:dyDescent="0.25">
      <c r="A119" s="39">
        <v>2045</v>
      </c>
      <c r="B119" s="4">
        <f t="shared" si="5"/>
        <v>22252668.457489267</v>
      </c>
      <c r="C119" s="4">
        <f t="shared" si="5"/>
        <v>109315.24735129179</v>
      </c>
      <c r="D119" s="4">
        <f t="shared" si="5"/>
        <v>1545.4768831007063</v>
      </c>
      <c r="E119" s="4">
        <f t="shared" si="5"/>
        <v>43.312585705122984</v>
      </c>
      <c r="F119" s="4">
        <f t="shared" si="5"/>
        <v>0.33673215546900004</v>
      </c>
      <c r="G119" s="4">
        <f t="shared" si="5"/>
        <v>0.75290163438700031</v>
      </c>
      <c r="H119" s="44">
        <f>C119*'Monetized Values and Factors'!N75</f>
        <v>0</v>
      </c>
      <c r="I119" s="44">
        <f>D119*'Monetized Values and Factors'!$O$34</f>
        <v>12781189.642809594</v>
      </c>
      <c r="J119" s="44">
        <f>E119*'Monetized Values and Factors'!$O$35</f>
        <v>16385210.207302339</v>
      </c>
      <c r="K119" s="44">
        <f>F119*'Monetized Values and Factors'!$O$36</f>
        <v>16458.41025199047</v>
      </c>
      <c r="L119" s="45">
        <f>G119*'Monetized Values and Factors'!$O$33</f>
        <v>1579.85679127822</v>
      </c>
    </row>
    <row r="120" spans="1:12" x14ac:dyDescent="0.25">
      <c r="A120" s="39">
        <v>2046</v>
      </c>
      <c r="B120" s="4">
        <f t="shared" si="5"/>
        <v>22252668.457489267</v>
      </c>
      <c r="C120" s="4">
        <f t="shared" si="5"/>
        <v>109315.24735129179</v>
      </c>
      <c r="D120" s="4">
        <f t="shared" si="5"/>
        <v>1545.4768831007063</v>
      </c>
      <c r="E120" s="4">
        <f t="shared" si="5"/>
        <v>43.312585705122984</v>
      </c>
      <c r="F120" s="4">
        <f t="shared" si="5"/>
        <v>0.33673215546900004</v>
      </c>
      <c r="G120" s="4">
        <f t="shared" si="5"/>
        <v>0.75290163438700031</v>
      </c>
      <c r="H120" s="44">
        <f>C120*'Monetized Values and Factors'!N76</f>
        <v>0</v>
      </c>
      <c r="I120" s="44">
        <f>D120*'Monetized Values and Factors'!$O$34</f>
        <v>12781189.642809594</v>
      </c>
      <c r="J120" s="44">
        <f>E120*'Monetized Values and Factors'!$O$35</f>
        <v>16385210.207302339</v>
      </c>
      <c r="K120" s="44">
        <f>F120*'Monetized Values and Factors'!$O$36</f>
        <v>16458.41025199047</v>
      </c>
      <c r="L120" s="45">
        <f>G120*'Monetized Values and Factors'!$O$33</f>
        <v>1579.85679127822</v>
      </c>
    </row>
    <row r="121" spans="1:12" x14ac:dyDescent="0.25">
      <c r="A121" s="39">
        <v>2047</v>
      </c>
      <c r="B121" s="4">
        <f t="shared" si="5"/>
        <v>22252668.457489267</v>
      </c>
      <c r="C121" s="4">
        <f t="shared" si="5"/>
        <v>109315.24735129179</v>
      </c>
      <c r="D121" s="4">
        <f t="shared" si="5"/>
        <v>1545.4768831007063</v>
      </c>
      <c r="E121" s="4">
        <f t="shared" si="5"/>
        <v>43.312585705122984</v>
      </c>
      <c r="F121" s="4">
        <f t="shared" si="5"/>
        <v>0.33673215546900004</v>
      </c>
      <c r="G121" s="4">
        <f t="shared" si="5"/>
        <v>0.75290163438700031</v>
      </c>
      <c r="H121" s="44">
        <f>C121*'Monetized Values and Factors'!N77</f>
        <v>0</v>
      </c>
      <c r="I121" s="44">
        <f>D121*'Monetized Values and Factors'!$O$34</f>
        <v>12781189.642809594</v>
      </c>
      <c r="J121" s="44">
        <f>E121*'Monetized Values and Factors'!$O$35</f>
        <v>16385210.207302339</v>
      </c>
      <c r="K121" s="44">
        <f>F121*'Monetized Values and Factors'!$O$36</f>
        <v>16458.41025199047</v>
      </c>
      <c r="L121" s="45">
        <f>G121*'Monetized Values and Factors'!$O$33</f>
        <v>1579.85679127822</v>
      </c>
    </row>
    <row r="122" spans="1:12" x14ac:dyDescent="0.25">
      <c r="A122" s="39">
        <v>2048</v>
      </c>
      <c r="B122" s="4">
        <f t="shared" si="5"/>
        <v>22252668.457489267</v>
      </c>
      <c r="C122" s="4">
        <f t="shared" si="5"/>
        <v>109315.24735129179</v>
      </c>
      <c r="D122" s="4">
        <f t="shared" si="5"/>
        <v>1545.4768831007063</v>
      </c>
      <c r="E122" s="4">
        <f t="shared" si="5"/>
        <v>43.312585705122984</v>
      </c>
      <c r="F122" s="4">
        <f t="shared" si="5"/>
        <v>0.33673215546900004</v>
      </c>
      <c r="G122" s="4">
        <f t="shared" si="5"/>
        <v>0.75290163438700031</v>
      </c>
      <c r="H122" s="44">
        <f>C122*'Monetized Values and Factors'!N78</f>
        <v>0</v>
      </c>
      <c r="I122" s="44">
        <f>D122*'Monetized Values and Factors'!$O$34</f>
        <v>12781189.642809594</v>
      </c>
      <c r="J122" s="44">
        <f>E122*'Monetized Values and Factors'!$O$35</f>
        <v>16385210.207302339</v>
      </c>
      <c r="K122" s="44">
        <f>F122*'Monetized Values and Factors'!$O$36</f>
        <v>16458.41025199047</v>
      </c>
      <c r="L122" s="45">
        <f>G122*'Monetized Values and Factors'!$O$33</f>
        <v>1579.85679127822</v>
      </c>
    </row>
    <row r="123" spans="1:12" x14ac:dyDescent="0.25">
      <c r="A123" s="39">
        <v>2049</v>
      </c>
      <c r="B123" s="4">
        <f t="shared" si="5"/>
        <v>22252668.457489267</v>
      </c>
      <c r="C123" s="4">
        <f t="shared" si="5"/>
        <v>109315.24735129179</v>
      </c>
      <c r="D123" s="4">
        <f t="shared" si="5"/>
        <v>1545.4768831007063</v>
      </c>
      <c r="E123" s="4">
        <f t="shared" si="5"/>
        <v>43.312585705122984</v>
      </c>
      <c r="F123" s="4">
        <f t="shared" si="5"/>
        <v>0.33673215546900004</v>
      </c>
      <c r="G123" s="4">
        <f t="shared" si="5"/>
        <v>0.75290163438700031</v>
      </c>
      <c r="H123" s="44">
        <f>C123*'Monetized Values and Factors'!N79</f>
        <v>0</v>
      </c>
      <c r="I123" s="44">
        <f>D123*'Monetized Values and Factors'!$O$34</f>
        <v>12781189.642809594</v>
      </c>
      <c r="J123" s="44">
        <f>E123*'Monetized Values and Factors'!$O$35</f>
        <v>16385210.207302339</v>
      </c>
      <c r="K123" s="44">
        <f>F123*'Monetized Values and Factors'!$O$36</f>
        <v>16458.41025199047</v>
      </c>
      <c r="L123" s="45">
        <f>G123*'Monetized Values and Factors'!$O$33</f>
        <v>1579.85679127822</v>
      </c>
    </row>
    <row r="124" spans="1:12" x14ac:dyDescent="0.25">
      <c r="A124" s="39">
        <v>2050</v>
      </c>
      <c r="B124" s="4">
        <f t="shared" si="5"/>
        <v>22252668.457489267</v>
      </c>
      <c r="C124" s="4">
        <f t="shared" si="5"/>
        <v>109315.24735129179</v>
      </c>
      <c r="D124" s="4">
        <f t="shared" si="5"/>
        <v>1545.4768831007063</v>
      </c>
      <c r="E124" s="4">
        <f t="shared" si="5"/>
        <v>43.312585705122984</v>
      </c>
      <c r="F124" s="4">
        <f t="shared" si="5"/>
        <v>0.33673215546900004</v>
      </c>
      <c r="G124" s="4">
        <f t="shared" si="5"/>
        <v>0.75290163438700031</v>
      </c>
      <c r="H124" s="44">
        <f>C124*'Monetized Values and Factors'!N80</f>
        <v>0</v>
      </c>
      <c r="I124" s="44">
        <f>D124*'Monetized Values and Factors'!$O$34</f>
        <v>12781189.642809594</v>
      </c>
      <c r="J124" s="44">
        <f>E124*'Monetized Values and Factors'!$O$35</f>
        <v>16385210.207302339</v>
      </c>
      <c r="K124" s="44">
        <f>F124*'Monetized Values and Factors'!$O$36</f>
        <v>16458.41025199047</v>
      </c>
      <c r="L124" s="45">
        <f>G124*'Monetized Values and Factors'!$O$33</f>
        <v>1579.85679127822</v>
      </c>
    </row>
    <row r="125" spans="1:12" x14ac:dyDescent="0.25">
      <c r="A125" s="39">
        <v>2051</v>
      </c>
      <c r="B125" s="4">
        <f t="shared" si="5"/>
        <v>22252668.457489267</v>
      </c>
      <c r="C125" s="4">
        <f t="shared" si="5"/>
        <v>109315.24735129179</v>
      </c>
      <c r="D125" s="4">
        <f t="shared" si="5"/>
        <v>1545.4768831007063</v>
      </c>
      <c r="E125" s="4">
        <f t="shared" si="5"/>
        <v>43.312585705122984</v>
      </c>
      <c r="F125" s="4">
        <f t="shared" si="5"/>
        <v>0.33673215546900004</v>
      </c>
      <c r="G125" s="4">
        <f t="shared" si="5"/>
        <v>0.75290163438700031</v>
      </c>
      <c r="H125" s="44">
        <f>C125*'Monetized Values and Factors'!N81</f>
        <v>0</v>
      </c>
      <c r="I125" s="44">
        <f>D125*'Monetized Values and Factors'!$O$34</f>
        <v>12781189.642809594</v>
      </c>
      <c r="J125" s="44">
        <f>E125*'Monetized Values and Factors'!$O$35</f>
        <v>16385210.207302339</v>
      </c>
      <c r="K125" s="44">
        <f>F125*'Monetized Values and Factors'!$O$36</f>
        <v>16458.41025199047</v>
      </c>
      <c r="L125" s="45">
        <f>G125*'Monetized Values and Factors'!$O$33</f>
        <v>1579.85679127822</v>
      </c>
    </row>
    <row r="126" spans="1:12" ht="15.75" thickBot="1" x14ac:dyDescent="0.3">
      <c r="A126" s="46" t="s">
        <v>2</v>
      </c>
      <c r="B126" s="47">
        <f t="shared" ref="B126:L126" si="6">SUM(B88:B125)</f>
        <v>545037961.6711067</v>
      </c>
      <c r="C126" s="47">
        <f t="shared" si="6"/>
        <v>2690724.0111309951</v>
      </c>
      <c r="D126" s="47">
        <f t="shared" si="6"/>
        <v>37918.270444513801</v>
      </c>
      <c r="E126" s="47">
        <f t="shared" si="6"/>
        <v>1061.8450893861761</v>
      </c>
      <c r="F126" s="47">
        <f t="shared" si="6"/>
        <v>8.3870753666524038</v>
      </c>
      <c r="G126" s="47">
        <f t="shared" si="6"/>
        <v>22.492431682563375</v>
      </c>
      <c r="H126" s="207">
        <f t="shared" si="6"/>
        <v>0</v>
      </c>
      <c r="I126" s="207">
        <f t="shared" si="6"/>
        <v>313586447.50889665</v>
      </c>
      <c r="J126" s="207">
        <f t="shared" si="6"/>
        <v>401697444.60964727</v>
      </c>
      <c r="K126" s="207">
        <f t="shared" si="6"/>
        <v>409933.90431178064</v>
      </c>
      <c r="L126" s="208">
        <f t="shared" si="6"/>
        <v>47197.16271434442</v>
      </c>
    </row>
  </sheetData>
  <mergeCells count="4">
    <mergeCell ref="A1:L1"/>
    <mergeCell ref="A2:L2"/>
    <mergeCell ref="A44:L44"/>
    <mergeCell ref="A86:L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70" zoomScaleNormal="70" workbookViewId="0">
      <selection activeCell="V39" sqref="V39"/>
    </sheetView>
  </sheetViews>
  <sheetFormatPr defaultColWidth="9.140625" defaultRowHeight="15" x14ac:dyDescent="0.25"/>
  <cols>
    <col min="1" max="1" width="10.7109375" style="3" bestFit="1" customWidth="1"/>
    <col min="2" max="2" width="11.7109375" style="3" customWidth="1"/>
    <col min="3" max="3" width="12.140625" style="3" customWidth="1"/>
    <col min="4" max="4" width="11.85546875" style="3" customWidth="1"/>
    <col min="5" max="5" width="19.42578125" style="3" customWidth="1"/>
    <col min="6" max="6" width="15.42578125" style="3" customWidth="1"/>
    <col min="7" max="7" width="16.85546875" style="3" customWidth="1"/>
    <col min="8" max="8" width="10" style="3" customWidth="1"/>
    <col min="9" max="13" width="17.5703125" style="3" customWidth="1"/>
    <col min="14" max="16" width="18.140625" style="3" customWidth="1"/>
    <col min="17" max="17" width="21.28515625" style="3" customWidth="1"/>
    <col min="18" max="16384" width="9.140625" style="3"/>
  </cols>
  <sheetData>
    <row r="1" spans="1:17" ht="34.5" customHeight="1" thickBot="1" x14ac:dyDescent="0.4">
      <c r="A1" s="505" t="s">
        <v>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</row>
    <row r="2" spans="1:17" s="30" customFormat="1" ht="107.25" customHeight="1" thickBot="1" x14ac:dyDescent="0.3">
      <c r="A2" s="216" t="s">
        <v>3</v>
      </c>
      <c r="B2" s="171" t="s">
        <v>273</v>
      </c>
      <c r="C2" s="172" t="s">
        <v>274</v>
      </c>
      <c r="D2" s="172" t="s">
        <v>275</v>
      </c>
      <c r="E2" s="172" t="s">
        <v>325</v>
      </c>
      <c r="F2" s="171" t="s">
        <v>276</v>
      </c>
      <c r="G2" s="172" t="s">
        <v>277</v>
      </c>
      <c r="H2" s="172" t="s">
        <v>280</v>
      </c>
      <c r="I2" s="172" t="s">
        <v>326</v>
      </c>
      <c r="J2" s="171" t="s">
        <v>278</v>
      </c>
      <c r="K2" s="172" t="s">
        <v>279</v>
      </c>
      <c r="L2" s="172" t="s">
        <v>281</v>
      </c>
      <c r="M2" s="172" t="s">
        <v>327</v>
      </c>
      <c r="N2" s="171" t="s">
        <v>328</v>
      </c>
      <c r="O2" s="172" t="s">
        <v>329</v>
      </c>
      <c r="P2" s="173" t="s">
        <v>330</v>
      </c>
      <c r="Q2" s="173" t="s">
        <v>331</v>
      </c>
    </row>
    <row r="3" spans="1:17" s="30" customFormat="1" x14ac:dyDescent="0.25">
      <c r="A3" s="332">
        <v>2014</v>
      </c>
      <c r="B3" s="213">
        <f>'VMT Ton-Mile Driver Time'!F4*'Crash Rates'!$B$10+'VMT Ton-Mile Driver Time'!F47*'Crash Rates'!$B$17</f>
        <v>0</v>
      </c>
      <c r="C3" s="4">
        <f>'VMT Ton-Mile Driver Time'!M4*'Crash Rates'!$B$10+'VMT Ton-Mile Driver Time'!M47*'Crash Rates'!$B$17</f>
        <v>0</v>
      </c>
      <c r="D3" s="4">
        <f>C3-B3</f>
        <v>0</v>
      </c>
      <c r="E3" s="44">
        <f>D3*'Monetized Values and Factors'!$M$88</f>
        <v>0</v>
      </c>
      <c r="F3" s="213">
        <f>'VMT Ton-Mile Driver Time'!F4*'Crash Rates'!$C$10+'VMT Ton-Mile Driver Time'!F47*'Crash Rates'!$C$17</f>
        <v>0</v>
      </c>
      <c r="G3" s="4">
        <f>'VMT Ton-Mile Driver Time'!M4*'Crash Rates'!$C$10+'VMT Ton-Mile Driver Time'!M47*'Crash Rates'!$C$17</f>
        <v>0</v>
      </c>
      <c r="H3" s="4">
        <f>G3-F3</f>
        <v>0</v>
      </c>
      <c r="I3" s="44">
        <f>H3*'Monetized Values and Factors'!$P$93</f>
        <v>0</v>
      </c>
      <c r="J3" s="213">
        <f>'VMT Ton-Mile Driver Time'!F4*'Crash Rates'!$D$10</f>
        <v>0</v>
      </c>
      <c r="K3" s="4">
        <f>'VMT Ton-Mile Driver Time'!M4*'Crash Rates'!$D$10</f>
        <v>0</v>
      </c>
      <c r="L3" s="4">
        <f>K3-J3</f>
        <v>0</v>
      </c>
      <c r="M3" s="44">
        <f>L3*'Monetized Values and Factors'!$M$101</f>
        <v>0</v>
      </c>
      <c r="N3" s="177">
        <f>'VMT Ton-Mile Driver Time'!F47*'Crash Rates'!$B$22</f>
        <v>0</v>
      </c>
      <c r="O3" s="44">
        <f>'VMT Ton-Mile Driver Time'!M47*'Crash Rates'!$B$22</f>
        <v>0</v>
      </c>
      <c r="P3" s="45">
        <f>O3-N3</f>
        <v>0</v>
      </c>
      <c r="Q3" s="45">
        <f>E3+I3+M3+P3</f>
        <v>0</v>
      </c>
    </row>
    <row r="4" spans="1:17" x14ac:dyDescent="0.25">
      <c r="A4" s="39">
        <v>2015</v>
      </c>
      <c r="B4" s="213">
        <f>'VMT Ton-Mile Driver Time'!F5*'Crash Rates'!$B$10+'VMT Ton-Mile Driver Time'!F48*'Crash Rates'!$B$17</f>
        <v>0</v>
      </c>
      <c r="C4" s="4">
        <f>'VMT Ton-Mile Driver Time'!M5*'Crash Rates'!$B$10+'VMT Ton-Mile Driver Time'!M48*'Crash Rates'!$B$17</f>
        <v>0</v>
      </c>
      <c r="D4" s="4">
        <f>C4-B4</f>
        <v>0</v>
      </c>
      <c r="E4" s="44">
        <f>D4*'Monetized Values and Factors'!$M$88</f>
        <v>0</v>
      </c>
      <c r="F4" s="213">
        <f>'VMT Ton-Mile Driver Time'!F5*'Crash Rates'!$C$10+'VMT Ton-Mile Driver Time'!F48*'Crash Rates'!$C$17</f>
        <v>0</v>
      </c>
      <c r="G4" s="4">
        <f>'VMT Ton-Mile Driver Time'!M5*'Crash Rates'!$C$10+'VMT Ton-Mile Driver Time'!M48*'Crash Rates'!$C$17</f>
        <v>0</v>
      </c>
      <c r="H4" s="4">
        <f>G4-F4</f>
        <v>0</v>
      </c>
      <c r="I4" s="44">
        <f>H4*'Monetized Values and Factors'!$P$93</f>
        <v>0</v>
      </c>
      <c r="J4" s="213">
        <f>'VMT Ton-Mile Driver Time'!F5*'Crash Rates'!$D$10</f>
        <v>0</v>
      </c>
      <c r="K4" s="4">
        <f>'VMT Ton-Mile Driver Time'!M5*'Crash Rates'!$D$10</f>
        <v>0</v>
      </c>
      <c r="L4" s="4">
        <f>K4-J4</f>
        <v>0</v>
      </c>
      <c r="M4" s="44">
        <f>L4*'Monetized Values and Factors'!$M$101</f>
        <v>0</v>
      </c>
      <c r="N4" s="177">
        <f>'VMT Ton-Mile Driver Time'!F48*'Crash Rates'!$B$22</f>
        <v>0</v>
      </c>
      <c r="O4" s="44">
        <f>'VMT Ton-Mile Driver Time'!M48*'Crash Rates'!$B$22</f>
        <v>0</v>
      </c>
      <c r="P4" s="45">
        <f>O4-N4</f>
        <v>0</v>
      </c>
      <c r="Q4" s="45">
        <f>E4+I4+M4+P4</f>
        <v>0</v>
      </c>
    </row>
    <row r="5" spans="1:17" x14ac:dyDescent="0.25">
      <c r="A5" s="39">
        <v>2016</v>
      </c>
      <c r="B5" s="213">
        <f>'VMT Ton-Mile Driver Time'!F6*'Crash Rates'!$B$10+'VMT Ton-Mile Driver Time'!F49*'Crash Rates'!$B$17</f>
        <v>0</v>
      </c>
      <c r="C5" s="4">
        <f>'VMT Ton-Mile Driver Time'!M6*'Crash Rates'!$B$10+'VMT Ton-Mile Driver Time'!M49*'Crash Rates'!$B$17</f>
        <v>0</v>
      </c>
      <c r="D5" s="4">
        <f t="shared" ref="D5:D40" si="0">C5-B5</f>
        <v>0</v>
      </c>
      <c r="E5" s="44">
        <f>D5*'Monetized Values and Factors'!$M$88</f>
        <v>0</v>
      </c>
      <c r="F5" s="213">
        <f>'VMT Ton-Mile Driver Time'!F6*'Crash Rates'!$C$10+'VMT Ton-Mile Driver Time'!F49*'Crash Rates'!$C$17</f>
        <v>0</v>
      </c>
      <c r="G5" s="4">
        <f>'VMT Ton-Mile Driver Time'!M6*'Crash Rates'!$C$10+'VMT Ton-Mile Driver Time'!M49*'Crash Rates'!$C$17</f>
        <v>0</v>
      </c>
      <c r="H5" s="4">
        <f t="shared" ref="H5:H40" si="1">G5-F5</f>
        <v>0</v>
      </c>
      <c r="I5" s="44">
        <f>H5*'Monetized Values and Factors'!$P$93</f>
        <v>0</v>
      </c>
      <c r="J5" s="213">
        <f>'VMT Ton-Mile Driver Time'!F6*'Crash Rates'!$D$10</f>
        <v>0</v>
      </c>
      <c r="K5" s="4">
        <f>'VMT Ton-Mile Driver Time'!M6*'Crash Rates'!$D$10</f>
        <v>0</v>
      </c>
      <c r="L5" s="4">
        <f t="shared" ref="L5:L40" si="2">K5-J5</f>
        <v>0</v>
      </c>
      <c r="M5" s="44">
        <f>L5*'Monetized Values and Factors'!$M$101</f>
        <v>0</v>
      </c>
      <c r="N5" s="177">
        <f>'VMT Ton-Mile Driver Time'!F49*'Crash Rates'!$B$22</f>
        <v>0</v>
      </c>
      <c r="O5" s="44">
        <f>'VMT Ton-Mile Driver Time'!M49*'Crash Rates'!$B$22</f>
        <v>0</v>
      </c>
      <c r="P5" s="45">
        <f t="shared" ref="P5:P40" si="3">O5-N5</f>
        <v>0</v>
      </c>
      <c r="Q5" s="45">
        <f t="shared" ref="Q5:Q40" si="4">E5+I5+M5+P5</f>
        <v>0</v>
      </c>
    </row>
    <row r="6" spans="1:17" x14ac:dyDescent="0.25">
      <c r="A6" s="39">
        <v>2017</v>
      </c>
      <c r="B6" s="213">
        <f>'VMT Ton-Mile Driver Time'!F7*'Crash Rates'!$B$10+'VMT Ton-Mile Driver Time'!F50*'Crash Rates'!$B$17</f>
        <v>0</v>
      </c>
      <c r="C6" s="4">
        <f>'VMT Ton-Mile Driver Time'!M7*'Crash Rates'!$B$10+'VMT Ton-Mile Driver Time'!M50*'Crash Rates'!$B$17</f>
        <v>0</v>
      </c>
      <c r="D6" s="4">
        <f t="shared" si="0"/>
        <v>0</v>
      </c>
      <c r="E6" s="44">
        <f>D6*'Monetized Values and Factors'!$M$88</f>
        <v>0</v>
      </c>
      <c r="F6" s="213">
        <f>'VMT Ton-Mile Driver Time'!F7*'Crash Rates'!$C$10+'VMT Ton-Mile Driver Time'!F50*'Crash Rates'!$C$17</f>
        <v>0</v>
      </c>
      <c r="G6" s="4">
        <f>'VMT Ton-Mile Driver Time'!M7*'Crash Rates'!$C$10+'VMT Ton-Mile Driver Time'!M50*'Crash Rates'!$C$17</f>
        <v>0</v>
      </c>
      <c r="H6" s="4">
        <f t="shared" si="1"/>
        <v>0</v>
      </c>
      <c r="I6" s="44">
        <f>H6*'Monetized Values and Factors'!$P$93</f>
        <v>0</v>
      </c>
      <c r="J6" s="213">
        <f>'VMT Ton-Mile Driver Time'!F7*'Crash Rates'!$D$10</f>
        <v>0</v>
      </c>
      <c r="K6" s="4">
        <f>'VMT Ton-Mile Driver Time'!M7*'Crash Rates'!$D$10</f>
        <v>0</v>
      </c>
      <c r="L6" s="4">
        <f t="shared" si="2"/>
        <v>0</v>
      </c>
      <c r="M6" s="44">
        <f>L6*'Monetized Values and Factors'!$M$101</f>
        <v>0</v>
      </c>
      <c r="N6" s="177">
        <f>'VMT Ton-Mile Driver Time'!F50*'Crash Rates'!$B$22</f>
        <v>0</v>
      </c>
      <c r="O6" s="44">
        <f>'VMT Ton-Mile Driver Time'!M50*'Crash Rates'!$B$22</f>
        <v>0</v>
      </c>
      <c r="P6" s="45">
        <f t="shared" si="3"/>
        <v>0</v>
      </c>
      <c r="Q6" s="45">
        <f t="shared" si="4"/>
        <v>0</v>
      </c>
    </row>
    <row r="7" spans="1:17" x14ac:dyDescent="0.25">
      <c r="A7" s="39">
        <v>2018</v>
      </c>
      <c r="B7" s="213">
        <f>'VMT Ton-Mile Driver Time'!F8*'Crash Rates'!$B$10+'VMT Ton-Mile Driver Time'!F51*'Crash Rates'!$B$17</f>
        <v>0</v>
      </c>
      <c r="C7" s="4">
        <f>'VMT Ton-Mile Driver Time'!M8*'Crash Rates'!$B$10+'VMT Ton-Mile Driver Time'!M51*'Crash Rates'!$B$17</f>
        <v>0</v>
      </c>
      <c r="D7" s="4">
        <f t="shared" si="0"/>
        <v>0</v>
      </c>
      <c r="E7" s="44">
        <f>D7*'Monetized Values and Factors'!$M$88</f>
        <v>0</v>
      </c>
      <c r="F7" s="213">
        <f>'VMT Ton-Mile Driver Time'!F8*'Crash Rates'!$C$10+'VMT Ton-Mile Driver Time'!F51*'Crash Rates'!$C$17</f>
        <v>0</v>
      </c>
      <c r="G7" s="4">
        <f>'VMT Ton-Mile Driver Time'!M8*'Crash Rates'!$C$10+'VMT Ton-Mile Driver Time'!M51*'Crash Rates'!$C$17</f>
        <v>0</v>
      </c>
      <c r="H7" s="4">
        <f t="shared" si="1"/>
        <v>0</v>
      </c>
      <c r="I7" s="44">
        <f>H7*'Monetized Values and Factors'!$P$93</f>
        <v>0</v>
      </c>
      <c r="J7" s="213">
        <f>'VMT Ton-Mile Driver Time'!F8*'Crash Rates'!$D$10</f>
        <v>0</v>
      </c>
      <c r="K7" s="4">
        <f>'VMT Ton-Mile Driver Time'!M8*'Crash Rates'!$D$10</f>
        <v>0</v>
      </c>
      <c r="L7" s="4">
        <f t="shared" si="2"/>
        <v>0</v>
      </c>
      <c r="M7" s="44">
        <f>L7*'Monetized Values and Factors'!$M$101</f>
        <v>0</v>
      </c>
      <c r="N7" s="177">
        <f>'VMT Ton-Mile Driver Time'!F51*'Crash Rates'!$B$22</f>
        <v>0</v>
      </c>
      <c r="O7" s="44">
        <f>'VMT Ton-Mile Driver Time'!M51*'Crash Rates'!$B$22</f>
        <v>0</v>
      </c>
      <c r="P7" s="45">
        <f t="shared" si="3"/>
        <v>0</v>
      </c>
      <c r="Q7" s="45">
        <f t="shared" si="4"/>
        <v>0</v>
      </c>
    </row>
    <row r="8" spans="1:17" x14ac:dyDescent="0.25">
      <c r="A8" s="39">
        <v>2019</v>
      </c>
      <c r="B8" s="213">
        <f>'VMT Ton-Mile Driver Time'!F9*'Crash Rates'!$B$10+'VMT Ton-Mile Driver Time'!F52*'Crash Rates'!$B$17</f>
        <v>0</v>
      </c>
      <c r="C8" s="4">
        <f>'VMT Ton-Mile Driver Time'!M9*'Crash Rates'!$B$10+'VMT Ton-Mile Driver Time'!M52*'Crash Rates'!$B$17</f>
        <v>0</v>
      </c>
      <c r="D8" s="4">
        <f t="shared" si="0"/>
        <v>0</v>
      </c>
      <c r="E8" s="44">
        <f>D8*'Monetized Values and Factors'!$M$88</f>
        <v>0</v>
      </c>
      <c r="F8" s="213">
        <f>'VMT Ton-Mile Driver Time'!F9*'Crash Rates'!$C$10+'VMT Ton-Mile Driver Time'!F52*'Crash Rates'!$C$17</f>
        <v>0</v>
      </c>
      <c r="G8" s="4">
        <f>'VMT Ton-Mile Driver Time'!M9*'Crash Rates'!$C$10+'VMT Ton-Mile Driver Time'!M52*'Crash Rates'!$C$17</f>
        <v>0</v>
      </c>
      <c r="H8" s="4">
        <f t="shared" si="1"/>
        <v>0</v>
      </c>
      <c r="I8" s="44">
        <f>H8*'Monetized Values and Factors'!$P$93</f>
        <v>0</v>
      </c>
      <c r="J8" s="213">
        <f>'VMT Ton-Mile Driver Time'!F9*'Crash Rates'!$D$10</f>
        <v>0</v>
      </c>
      <c r="K8" s="4">
        <f>'VMT Ton-Mile Driver Time'!M9*'Crash Rates'!$D$10</f>
        <v>0</v>
      </c>
      <c r="L8" s="4">
        <f t="shared" si="2"/>
        <v>0</v>
      </c>
      <c r="M8" s="44">
        <f>L8*'Monetized Values and Factors'!$M$101</f>
        <v>0</v>
      </c>
      <c r="N8" s="177">
        <f>'VMT Ton-Mile Driver Time'!F52*'Crash Rates'!$B$22</f>
        <v>0</v>
      </c>
      <c r="O8" s="44">
        <f>'VMT Ton-Mile Driver Time'!M52*'Crash Rates'!$B$22</f>
        <v>0</v>
      </c>
      <c r="P8" s="45">
        <f t="shared" si="3"/>
        <v>0</v>
      </c>
      <c r="Q8" s="45">
        <f t="shared" si="4"/>
        <v>0</v>
      </c>
    </row>
    <row r="9" spans="1:17" x14ac:dyDescent="0.25">
      <c r="A9" s="39">
        <v>2020</v>
      </c>
      <c r="B9" s="213">
        <f>'VMT Ton-Mile Driver Time'!F10*'Crash Rates'!$B$10+'VMT Ton-Mile Driver Time'!F53*'Crash Rates'!$B$17</f>
        <v>0</v>
      </c>
      <c r="C9" s="4">
        <f>'VMT Ton-Mile Driver Time'!M10*'Crash Rates'!$B$10+'VMT Ton-Mile Driver Time'!M53*'Crash Rates'!$B$17</f>
        <v>0</v>
      </c>
      <c r="D9" s="4">
        <f t="shared" si="0"/>
        <v>0</v>
      </c>
      <c r="E9" s="44">
        <f>D9*'Monetized Values and Factors'!$M$88</f>
        <v>0</v>
      </c>
      <c r="F9" s="213">
        <f>'VMT Ton-Mile Driver Time'!F10*'Crash Rates'!$C$10+'VMT Ton-Mile Driver Time'!F53*'Crash Rates'!$C$17</f>
        <v>0</v>
      </c>
      <c r="G9" s="4">
        <f>'VMT Ton-Mile Driver Time'!M10*'Crash Rates'!$C$10+'VMT Ton-Mile Driver Time'!M53*'Crash Rates'!$C$17</f>
        <v>0</v>
      </c>
      <c r="H9" s="4">
        <f t="shared" si="1"/>
        <v>0</v>
      </c>
      <c r="I9" s="44">
        <f>H9*'Monetized Values and Factors'!$P$93</f>
        <v>0</v>
      </c>
      <c r="J9" s="213">
        <f>'VMT Ton-Mile Driver Time'!F10*'Crash Rates'!$D$10</f>
        <v>0</v>
      </c>
      <c r="K9" s="4">
        <f>'VMT Ton-Mile Driver Time'!M10*'Crash Rates'!$D$10</f>
        <v>0</v>
      </c>
      <c r="L9" s="4">
        <f t="shared" si="2"/>
        <v>0</v>
      </c>
      <c r="M9" s="44">
        <f>L9*'Monetized Values and Factors'!$M$101</f>
        <v>0</v>
      </c>
      <c r="N9" s="177">
        <f>'VMT Ton-Mile Driver Time'!F53*'Crash Rates'!$B$22</f>
        <v>0</v>
      </c>
      <c r="O9" s="44">
        <f>'VMT Ton-Mile Driver Time'!M53*'Crash Rates'!$B$22</f>
        <v>0</v>
      </c>
      <c r="P9" s="45">
        <f t="shared" si="3"/>
        <v>0</v>
      </c>
      <c r="Q9" s="45">
        <f t="shared" si="4"/>
        <v>0</v>
      </c>
    </row>
    <row r="10" spans="1:17" x14ac:dyDescent="0.25">
      <c r="A10" s="39">
        <v>2021</v>
      </c>
      <c r="B10" s="214">
        <f>'VMT Ton-Mile Driver Time'!F11*'Crash Rates'!$B$10+'VMT Ton-Mile Driver Time'!F54*'Crash Rates'!$B$17</f>
        <v>0</v>
      </c>
      <c r="C10" s="212">
        <f>'VMT Ton-Mile Driver Time'!M11*'Crash Rates'!$B$10+'VMT Ton-Mile Driver Time'!M54*'Crash Rates'!$B$17</f>
        <v>0</v>
      </c>
      <c r="D10" s="4">
        <f t="shared" si="0"/>
        <v>0</v>
      </c>
      <c r="E10" s="44">
        <f>D10*'Monetized Values and Factors'!$M$88</f>
        <v>0</v>
      </c>
      <c r="F10" s="213">
        <f>'VMT Ton-Mile Driver Time'!F11*'Crash Rates'!$C$10+'VMT Ton-Mile Driver Time'!F54*'Crash Rates'!$C$17</f>
        <v>0</v>
      </c>
      <c r="G10" s="4">
        <f>'VMT Ton-Mile Driver Time'!M11*'Crash Rates'!$C$10+'VMT Ton-Mile Driver Time'!M54*'Crash Rates'!$C$17</f>
        <v>0</v>
      </c>
      <c r="H10" s="4">
        <f t="shared" si="1"/>
        <v>0</v>
      </c>
      <c r="I10" s="44">
        <f>H10*'Monetized Values and Factors'!$P$93</f>
        <v>0</v>
      </c>
      <c r="J10" s="213">
        <f>'VMT Ton-Mile Driver Time'!F11*'Crash Rates'!$D$10</f>
        <v>0</v>
      </c>
      <c r="K10" s="4">
        <f>'VMT Ton-Mile Driver Time'!M11*'Crash Rates'!$D$10</f>
        <v>0</v>
      </c>
      <c r="L10" s="4">
        <f t="shared" si="2"/>
        <v>0</v>
      </c>
      <c r="M10" s="44">
        <f>L10*'Monetized Values and Factors'!$M$101</f>
        <v>0</v>
      </c>
      <c r="N10" s="177">
        <f>'VMT Ton-Mile Driver Time'!F54*'Crash Rates'!$B$22</f>
        <v>0</v>
      </c>
      <c r="O10" s="44">
        <f>'VMT Ton-Mile Driver Time'!M54*'Crash Rates'!$B$22</f>
        <v>0</v>
      </c>
      <c r="P10" s="45">
        <f t="shared" si="3"/>
        <v>0</v>
      </c>
      <c r="Q10" s="45">
        <f t="shared" si="4"/>
        <v>0</v>
      </c>
    </row>
    <row r="11" spans="1:17" x14ac:dyDescent="0.25">
      <c r="A11" s="39">
        <v>2022</v>
      </c>
      <c r="B11" s="214">
        <f>'VMT Ton-Mile Driver Time'!F12*'Crash Rates'!$B$10+'VMT Ton-Mile Driver Time'!F55*'Crash Rates'!$B$17</f>
        <v>3.8764040693954289E-2</v>
      </c>
      <c r="C11" s="212">
        <f>'VMT Ton-Mile Driver Time'!M12*'Crash Rates'!$B$10+'VMT Ton-Mile Driver Time'!M55*'Crash Rates'!$B$17</f>
        <v>0.1015275516794493</v>
      </c>
      <c r="D11" s="4">
        <f t="shared" si="0"/>
        <v>6.2763510985495014E-2</v>
      </c>
      <c r="E11" s="44">
        <f>D11*'Monetized Values and Factors'!$M$88</f>
        <v>602529.70546075213</v>
      </c>
      <c r="F11" s="315">
        <f>'VMT Ton-Mile Driver Time'!F12*'Crash Rates'!$C$10+'VMT Ton-Mile Driver Time'!F55*'Crash Rates'!$C$17</f>
        <v>1.0896865208233564</v>
      </c>
      <c r="G11" s="314">
        <f>'VMT Ton-Mile Driver Time'!M12*'Crash Rates'!$C$10+'VMT Ton-Mile Driver Time'!M55*'Crash Rates'!$C$17</f>
        <v>2.8383641140966569</v>
      </c>
      <c r="H11" s="314">
        <f t="shared" si="1"/>
        <v>1.7486775932733005</v>
      </c>
      <c r="I11" s="44">
        <f>H11*'Monetized Values and Factors'!$P$93</f>
        <v>789003.33008491318</v>
      </c>
      <c r="J11" s="213">
        <f>'VMT Ton-Mile Driver Time'!F12*'Crash Rates'!$D$10</f>
        <v>3.1142611054330462</v>
      </c>
      <c r="K11" s="4">
        <f>'VMT Ton-Mile Driver Time'!M12*'Crash Rates'!$D$10</f>
        <v>8.0706237365648725</v>
      </c>
      <c r="L11" s="4">
        <f t="shared" si="2"/>
        <v>4.9563626311318263</v>
      </c>
      <c r="M11" s="44">
        <f>L11*'Monetized Values and Factors'!$M$101</f>
        <v>21446.181104907413</v>
      </c>
      <c r="N11" s="177">
        <f>'VMT Ton-Mile Driver Time'!F55*'Crash Rates'!$B$22</f>
        <v>4035.7523480769228</v>
      </c>
      <c r="O11" s="44">
        <f>'VMT Ton-Mile Driver Time'!M55*'Crash Rates'!$B$22</f>
        <v>16729.656405160385</v>
      </c>
      <c r="P11" s="45">
        <f t="shared" si="3"/>
        <v>12693.904057083462</v>
      </c>
      <c r="Q11" s="45">
        <f t="shared" si="4"/>
        <v>1425673.120707656</v>
      </c>
    </row>
    <row r="12" spans="1:17" x14ac:dyDescent="0.25">
      <c r="A12" s="39">
        <v>2023</v>
      </c>
      <c r="B12" s="214">
        <f>'VMT Ton-Mile Driver Time'!F13*'Crash Rates'!$B$10+'VMT Ton-Mile Driver Time'!F56*'Crash Rates'!$B$17</f>
        <v>7.7528081387908579E-2</v>
      </c>
      <c r="C12" s="212">
        <f>'VMT Ton-Mile Driver Time'!M13*'Crash Rates'!$B$10+'VMT Ton-Mile Driver Time'!M56*'Crash Rates'!$B$17</f>
        <v>0.20305510335889859</v>
      </c>
      <c r="D12" s="4">
        <f t="shared" si="0"/>
        <v>0.12552702197099003</v>
      </c>
      <c r="E12" s="44">
        <f>D12*'Monetized Values and Factors'!$M$88</f>
        <v>1205059.4109215043</v>
      </c>
      <c r="F12" s="315">
        <f>'VMT Ton-Mile Driver Time'!F13*'Crash Rates'!$C$10+'VMT Ton-Mile Driver Time'!F56*'Crash Rates'!$C$17</f>
        <v>2.1793730416467127</v>
      </c>
      <c r="G12" s="314">
        <f>'VMT Ton-Mile Driver Time'!M13*'Crash Rates'!$C$10+'VMT Ton-Mile Driver Time'!M56*'Crash Rates'!$C$17</f>
        <v>5.6767282281933138</v>
      </c>
      <c r="H12" s="314">
        <f t="shared" si="1"/>
        <v>3.497355186546601</v>
      </c>
      <c r="I12" s="44">
        <f>H12*'Monetized Values and Factors'!$P$93</f>
        <v>1578006.6601698264</v>
      </c>
      <c r="J12" s="213">
        <f>'VMT Ton-Mile Driver Time'!F13*'Crash Rates'!$D$10</f>
        <v>6.2285222108660925</v>
      </c>
      <c r="K12" s="4">
        <f>'VMT Ton-Mile Driver Time'!M13*'Crash Rates'!$D$10</f>
        <v>16.141247473129745</v>
      </c>
      <c r="L12" s="4">
        <f t="shared" si="2"/>
        <v>9.9127252622636526</v>
      </c>
      <c r="M12" s="44">
        <f>L12*'Monetized Values and Factors'!$M$101</f>
        <v>42892.362209814826</v>
      </c>
      <c r="N12" s="177">
        <f>'VMT Ton-Mile Driver Time'!F56*'Crash Rates'!$B$22</f>
        <v>8071.5046961538455</v>
      </c>
      <c r="O12" s="44">
        <f>'VMT Ton-Mile Driver Time'!M56*'Crash Rates'!$B$22</f>
        <v>33459.312810320771</v>
      </c>
      <c r="P12" s="45">
        <f t="shared" si="3"/>
        <v>25387.808114166924</v>
      </c>
      <c r="Q12" s="45">
        <f t="shared" si="4"/>
        <v>2851346.241415312</v>
      </c>
    </row>
    <row r="13" spans="1:17" x14ac:dyDescent="0.25">
      <c r="A13" s="39">
        <v>2024</v>
      </c>
      <c r="B13" s="214">
        <f>'VMT Ton-Mile Driver Time'!F14*'Crash Rates'!$B$10+'VMT Ton-Mile Driver Time'!F57*'Crash Rates'!$B$17</f>
        <v>0.11629212208186286</v>
      </c>
      <c r="C13" s="212">
        <f>'VMT Ton-Mile Driver Time'!M14*'Crash Rates'!$B$10+'VMT Ton-Mile Driver Time'!M57*'Crash Rates'!$B$17</f>
        <v>0.30458265503834786</v>
      </c>
      <c r="D13" s="4">
        <f t="shared" si="0"/>
        <v>0.18829053295648501</v>
      </c>
      <c r="E13" s="44">
        <f>D13*'Monetized Values and Factors'!$M$88</f>
        <v>1807589.1163822562</v>
      </c>
      <c r="F13" s="315">
        <f>'VMT Ton-Mile Driver Time'!F14*'Crash Rates'!$C$10+'VMT Ton-Mile Driver Time'!F57*'Crash Rates'!$C$17</f>
        <v>3.2690595624700691</v>
      </c>
      <c r="G13" s="314">
        <f>'VMT Ton-Mile Driver Time'!M14*'Crash Rates'!$C$10+'VMT Ton-Mile Driver Time'!M57*'Crash Rates'!$C$17</f>
        <v>8.5150923422899698</v>
      </c>
      <c r="H13" s="314">
        <f t="shared" si="1"/>
        <v>5.2460327798199007</v>
      </c>
      <c r="I13" s="44">
        <f>H13*'Monetized Values and Factors'!$P$93</f>
        <v>2367009.9902547393</v>
      </c>
      <c r="J13" s="213">
        <f>'VMT Ton-Mile Driver Time'!F14*'Crash Rates'!$D$10</f>
        <v>9.3427833162991387</v>
      </c>
      <c r="K13" s="4">
        <f>'VMT Ton-Mile Driver Time'!M14*'Crash Rates'!$D$10</f>
        <v>24.211871209694618</v>
      </c>
      <c r="L13" s="4">
        <f t="shared" si="2"/>
        <v>14.869087893395479</v>
      </c>
      <c r="M13" s="44">
        <f>L13*'Monetized Values and Factors'!$M$101</f>
        <v>64338.543314722236</v>
      </c>
      <c r="N13" s="177">
        <f>'VMT Ton-Mile Driver Time'!F57*'Crash Rates'!$B$22</f>
        <v>12107.25704423077</v>
      </c>
      <c r="O13" s="44">
        <f>'VMT Ton-Mile Driver Time'!M57*'Crash Rates'!$B$22</f>
        <v>50188.969215481149</v>
      </c>
      <c r="P13" s="45">
        <f t="shared" si="3"/>
        <v>38081.712171250379</v>
      </c>
      <c r="Q13" s="45">
        <f t="shared" si="4"/>
        <v>4277019.3621229678</v>
      </c>
    </row>
    <row r="14" spans="1:17" x14ac:dyDescent="0.25">
      <c r="A14" s="39">
        <v>2025</v>
      </c>
      <c r="B14" s="214">
        <f>'VMT Ton-Mile Driver Time'!F15*'Crash Rates'!$B$10+'VMT Ton-Mile Driver Time'!F58*'Crash Rates'!$B$17</f>
        <v>0.15505616277581716</v>
      </c>
      <c r="C14" s="212">
        <f>'VMT Ton-Mile Driver Time'!M15*'Crash Rates'!$B$10+'VMT Ton-Mile Driver Time'!M58*'Crash Rates'!$B$17</f>
        <v>0.40611020671779718</v>
      </c>
      <c r="D14" s="4">
        <f t="shared" si="0"/>
        <v>0.25105404394198005</v>
      </c>
      <c r="E14" s="44">
        <f>D14*'Monetized Values and Factors'!$M$88</f>
        <v>2410118.8218430085</v>
      </c>
      <c r="F14" s="315">
        <f>'VMT Ton-Mile Driver Time'!F15*'Crash Rates'!$C$10+'VMT Ton-Mile Driver Time'!F58*'Crash Rates'!$C$17</f>
        <v>4.3587460832934255</v>
      </c>
      <c r="G14" s="314">
        <f>'VMT Ton-Mile Driver Time'!M15*'Crash Rates'!$C$10+'VMT Ton-Mile Driver Time'!M58*'Crash Rates'!$C$17</f>
        <v>11.353456456386628</v>
      </c>
      <c r="H14" s="314">
        <f t="shared" si="1"/>
        <v>6.9947103730932021</v>
      </c>
      <c r="I14" s="44">
        <f>H14*'Monetized Values and Factors'!$P$93</f>
        <v>3156013.3203396527</v>
      </c>
      <c r="J14" s="213">
        <f>'VMT Ton-Mile Driver Time'!F15*'Crash Rates'!$D$10</f>
        <v>12.457044421732185</v>
      </c>
      <c r="K14" s="4">
        <f>'VMT Ton-Mile Driver Time'!M15*'Crash Rates'!$D$10</f>
        <v>32.28249494625949</v>
      </c>
      <c r="L14" s="4">
        <f t="shared" si="2"/>
        <v>19.825450524527305</v>
      </c>
      <c r="M14" s="44">
        <f>L14*'Monetized Values and Factors'!$M$101</f>
        <v>85784.724419629652</v>
      </c>
      <c r="N14" s="177">
        <f>'VMT Ton-Mile Driver Time'!F58*'Crash Rates'!$B$22</f>
        <v>16143.009392307691</v>
      </c>
      <c r="O14" s="44">
        <f>'VMT Ton-Mile Driver Time'!M58*'Crash Rates'!$B$22</f>
        <v>66918.625620641542</v>
      </c>
      <c r="P14" s="45">
        <f t="shared" si="3"/>
        <v>50775.616228333849</v>
      </c>
      <c r="Q14" s="45">
        <f t="shared" si="4"/>
        <v>5702692.4828306241</v>
      </c>
    </row>
    <row r="15" spans="1:17" x14ac:dyDescent="0.25">
      <c r="A15" s="39">
        <v>2026</v>
      </c>
      <c r="B15" s="214">
        <f>'VMT Ton-Mile Driver Time'!F16*'Crash Rates'!$B$10+'VMT Ton-Mile Driver Time'!F59*'Crash Rates'!$B$17</f>
        <v>0.19382020346977141</v>
      </c>
      <c r="C15" s="212">
        <f>'VMT Ton-Mile Driver Time'!M16*'Crash Rates'!$B$10+'VMT Ton-Mile Driver Time'!M59*'Crash Rates'!$B$17</f>
        <v>0.50763775839724645</v>
      </c>
      <c r="D15" s="4">
        <f t="shared" si="0"/>
        <v>0.31381755492747504</v>
      </c>
      <c r="E15" s="44">
        <f>D15*'Monetized Values and Factors'!$M$88</f>
        <v>3012648.5273037604</v>
      </c>
      <c r="F15" s="315">
        <f>'VMT Ton-Mile Driver Time'!F16*'Crash Rates'!$C$10+'VMT Ton-Mile Driver Time'!F59*'Crash Rates'!$C$17</f>
        <v>5.4484326041167819</v>
      </c>
      <c r="G15" s="314">
        <f>'VMT Ton-Mile Driver Time'!M16*'Crash Rates'!$C$10+'VMT Ton-Mile Driver Time'!M59*'Crash Rates'!$C$17</f>
        <v>14.191820570483282</v>
      </c>
      <c r="H15" s="314">
        <f t="shared" si="1"/>
        <v>8.7433879663665</v>
      </c>
      <c r="I15" s="44">
        <f>H15*'Monetized Values and Factors'!$P$93</f>
        <v>3945016.6504245647</v>
      </c>
      <c r="J15" s="213">
        <f>'VMT Ton-Mile Driver Time'!F16*'Crash Rates'!$D$10</f>
        <v>15.571305527165231</v>
      </c>
      <c r="K15" s="4">
        <f>'VMT Ton-Mile Driver Time'!M16*'Crash Rates'!$D$10</f>
        <v>40.353118682824359</v>
      </c>
      <c r="L15" s="4">
        <f t="shared" si="2"/>
        <v>24.78181315565913</v>
      </c>
      <c r="M15" s="44">
        <f>L15*'Monetized Values and Factors'!$M$101</f>
        <v>107230.90552453705</v>
      </c>
      <c r="N15" s="177">
        <f>'VMT Ton-Mile Driver Time'!F59*'Crash Rates'!$B$22</f>
        <v>20178.761740384616</v>
      </c>
      <c r="O15" s="44">
        <f>'VMT Ton-Mile Driver Time'!M59*'Crash Rates'!$B$22</f>
        <v>83648.28202580192</v>
      </c>
      <c r="P15" s="45">
        <f t="shared" si="3"/>
        <v>63469.520285417304</v>
      </c>
      <c r="Q15" s="45">
        <f t="shared" si="4"/>
        <v>7128365.6035382794</v>
      </c>
    </row>
    <row r="16" spans="1:17" x14ac:dyDescent="0.25">
      <c r="A16" s="39">
        <v>2027</v>
      </c>
      <c r="B16" s="214">
        <f>'VMT Ton-Mile Driver Time'!F17*'Crash Rates'!$B$10+'VMT Ton-Mile Driver Time'!F60*'Crash Rates'!$B$17</f>
        <v>0.23258424416372572</v>
      </c>
      <c r="C16" s="212">
        <f>'VMT Ton-Mile Driver Time'!M17*'Crash Rates'!$B$10+'VMT Ton-Mile Driver Time'!M60*'Crash Rates'!$B$17</f>
        <v>0.60916531007669572</v>
      </c>
      <c r="D16" s="4">
        <f t="shared" si="0"/>
        <v>0.37658106591297003</v>
      </c>
      <c r="E16" s="44">
        <f>D16*'Monetized Values and Factors'!$M$88</f>
        <v>3615178.2327645123</v>
      </c>
      <c r="F16" s="315">
        <f>'VMT Ton-Mile Driver Time'!F17*'Crash Rates'!$C$10+'VMT Ton-Mile Driver Time'!F60*'Crash Rates'!$C$17</f>
        <v>6.5381191249401382</v>
      </c>
      <c r="G16" s="314">
        <f>'VMT Ton-Mile Driver Time'!M17*'Crash Rates'!$C$10+'VMT Ton-Mile Driver Time'!M60*'Crash Rates'!$C$17</f>
        <v>17.03018468457994</v>
      </c>
      <c r="H16" s="314">
        <f t="shared" si="1"/>
        <v>10.492065559639801</v>
      </c>
      <c r="I16" s="44">
        <f>H16*'Monetized Values and Factors'!$P$93</f>
        <v>4734019.9805094786</v>
      </c>
      <c r="J16" s="213">
        <f>'VMT Ton-Mile Driver Time'!F17*'Crash Rates'!$D$10</f>
        <v>18.685566632598277</v>
      </c>
      <c r="K16" s="4">
        <f>'VMT Ton-Mile Driver Time'!M17*'Crash Rates'!$D$10</f>
        <v>48.423742419389235</v>
      </c>
      <c r="L16" s="4">
        <f t="shared" si="2"/>
        <v>29.738175786790958</v>
      </c>
      <c r="M16" s="44">
        <f>L16*'Monetized Values and Factors'!$M$101</f>
        <v>128677.08662944447</v>
      </c>
      <c r="N16" s="177">
        <f>'VMT Ton-Mile Driver Time'!F60*'Crash Rates'!$B$22</f>
        <v>24214.514088461539</v>
      </c>
      <c r="O16" s="44">
        <f>'VMT Ton-Mile Driver Time'!M60*'Crash Rates'!$B$22</f>
        <v>100377.9384309623</v>
      </c>
      <c r="P16" s="45">
        <f t="shared" si="3"/>
        <v>76163.424342500759</v>
      </c>
      <c r="Q16" s="45">
        <f t="shared" si="4"/>
        <v>8554038.7242459357</v>
      </c>
    </row>
    <row r="17" spans="1:17" x14ac:dyDescent="0.25">
      <c r="A17" s="39">
        <v>2028</v>
      </c>
      <c r="B17" s="214">
        <f>'VMT Ton-Mile Driver Time'!F18*'Crash Rates'!$B$10+'VMT Ton-Mile Driver Time'!F61*'Crash Rates'!$B$17</f>
        <v>0.31011232555163432</v>
      </c>
      <c r="C17" s="212">
        <f>'VMT Ton-Mile Driver Time'!M18*'Crash Rates'!$B$10+'VMT Ton-Mile Driver Time'!M61*'Crash Rates'!$B$17</f>
        <v>0.81222041343559437</v>
      </c>
      <c r="D17" s="4">
        <f>C17-B17</f>
        <v>0.50210808788396011</v>
      </c>
      <c r="E17" s="44">
        <f>D17*'Monetized Values and Factors'!$M$88</f>
        <v>4820237.643686017</v>
      </c>
      <c r="F17" s="315">
        <f>'VMT Ton-Mile Driver Time'!F18*'Crash Rates'!$C$10+'VMT Ton-Mile Driver Time'!F61*'Crash Rates'!$C$17</f>
        <v>8.717492166586851</v>
      </c>
      <c r="G17" s="314">
        <f>'VMT Ton-Mile Driver Time'!M18*'Crash Rates'!$C$10+'VMT Ton-Mile Driver Time'!M61*'Crash Rates'!$C$17</f>
        <v>22.706912912773255</v>
      </c>
      <c r="H17" s="314">
        <f t="shared" si="1"/>
        <v>13.989420746186404</v>
      </c>
      <c r="I17" s="44">
        <f>H17*'Monetized Values and Factors'!$P$93</f>
        <v>6312026.6406793054</v>
      </c>
      <c r="J17" s="213">
        <f>'VMT Ton-Mile Driver Time'!F18*'Crash Rates'!$D$10</f>
        <v>24.91408884346437</v>
      </c>
      <c r="K17" s="4">
        <f>'VMT Ton-Mile Driver Time'!M18*'Crash Rates'!$D$10</f>
        <v>64.56498989251898</v>
      </c>
      <c r="L17" s="4">
        <f t="shared" si="2"/>
        <v>39.65090104905461</v>
      </c>
      <c r="M17" s="44">
        <f>L17*'Monetized Values and Factors'!$M$101</f>
        <v>171569.4488392593</v>
      </c>
      <c r="N17" s="177">
        <f>'VMT Ton-Mile Driver Time'!F61*'Crash Rates'!$B$22</f>
        <v>32286.018784615382</v>
      </c>
      <c r="O17" s="44">
        <f>'VMT Ton-Mile Driver Time'!M61*'Crash Rates'!$B$22</f>
        <v>133837.25124128308</v>
      </c>
      <c r="P17" s="45">
        <f t="shared" si="3"/>
        <v>101551.2324566677</v>
      </c>
      <c r="Q17" s="45">
        <f t="shared" si="4"/>
        <v>11405384.965661248</v>
      </c>
    </row>
    <row r="18" spans="1:17" x14ac:dyDescent="0.25">
      <c r="A18" s="39">
        <v>2029</v>
      </c>
      <c r="B18" s="214">
        <f>'VMT Ton-Mile Driver Time'!F19*'Crash Rates'!$B$10+'VMT Ton-Mile Driver Time'!F62*'Crash Rates'!$B$17</f>
        <v>0.38764040693954283</v>
      </c>
      <c r="C18" s="212">
        <f>'VMT Ton-Mile Driver Time'!M19*'Crash Rates'!$B$10+'VMT Ton-Mile Driver Time'!M62*'Crash Rates'!$B$17</f>
        <v>1.0152755167944929</v>
      </c>
      <c r="D18" s="4">
        <f t="shared" si="0"/>
        <v>0.62763510985495008</v>
      </c>
      <c r="E18" s="44">
        <f>D18*'Monetized Values and Factors'!$M$88</f>
        <v>6025297.0546075208</v>
      </c>
      <c r="F18" s="315">
        <f>'VMT Ton-Mile Driver Time'!F19*'Crash Rates'!$C$10+'VMT Ton-Mile Driver Time'!F62*'Crash Rates'!$C$17</f>
        <v>10.896865208233564</v>
      </c>
      <c r="G18" s="314">
        <f>'VMT Ton-Mile Driver Time'!M19*'Crash Rates'!$C$10+'VMT Ton-Mile Driver Time'!M62*'Crash Rates'!$C$17</f>
        <v>28.383641140966564</v>
      </c>
      <c r="H18" s="314">
        <f t="shared" si="1"/>
        <v>17.486775932733</v>
      </c>
      <c r="I18" s="44">
        <f>H18*'Monetized Values and Factors'!$P$93</f>
        <v>7890033.3008491294</v>
      </c>
      <c r="J18" s="213">
        <f>'VMT Ton-Mile Driver Time'!F19*'Crash Rates'!$D$10</f>
        <v>31.142611054330462</v>
      </c>
      <c r="K18" s="4">
        <f>'VMT Ton-Mile Driver Time'!M19*'Crash Rates'!$D$10</f>
        <v>80.706237365648718</v>
      </c>
      <c r="L18" s="4">
        <f t="shared" si="2"/>
        <v>49.563626311318259</v>
      </c>
      <c r="M18" s="44">
        <f>L18*'Monetized Values and Factors'!$M$101</f>
        <v>214461.81104907411</v>
      </c>
      <c r="N18" s="177">
        <f>'VMT Ton-Mile Driver Time'!F62*'Crash Rates'!$B$22</f>
        <v>40357.523480769232</v>
      </c>
      <c r="O18" s="44">
        <f>'VMT Ton-Mile Driver Time'!M62*'Crash Rates'!$B$22</f>
        <v>167296.56405160384</v>
      </c>
      <c r="P18" s="45">
        <f t="shared" si="3"/>
        <v>126939.04057083461</v>
      </c>
      <c r="Q18" s="45">
        <f t="shared" si="4"/>
        <v>14256731.207076559</v>
      </c>
    </row>
    <row r="19" spans="1:17" x14ac:dyDescent="0.25">
      <c r="A19" s="39">
        <v>2030</v>
      </c>
      <c r="B19" s="214">
        <f>'VMT Ton-Mile Driver Time'!F20*'Crash Rates'!$B$10+'VMT Ton-Mile Driver Time'!F63*'Crash Rates'!$B$17</f>
        <v>0.46516848832745145</v>
      </c>
      <c r="C19" s="212">
        <f>'VMT Ton-Mile Driver Time'!M20*'Crash Rates'!$B$10+'VMT Ton-Mile Driver Time'!M63*'Crash Rates'!$B$17</f>
        <v>1.2183306201533914</v>
      </c>
      <c r="D19" s="4">
        <f t="shared" si="0"/>
        <v>0.75316213182594005</v>
      </c>
      <c r="E19" s="44">
        <f>D19*'Monetized Values and Factors'!$M$88</f>
        <v>7230356.4655290246</v>
      </c>
      <c r="F19" s="315">
        <f>'VMT Ton-Mile Driver Time'!F20*'Crash Rates'!$C$10+'VMT Ton-Mile Driver Time'!F63*'Crash Rates'!$C$17</f>
        <v>13.076238249880276</v>
      </c>
      <c r="G19" s="314">
        <f>'VMT Ton-Mile Driver Time'!M20*'Crash Rates'!$C$10+'VMT Ton-Mile Driver Time'!M63*'Crash Rates'!$C$17</f>
        <v>34.060369369159879</v>
      </c>
      <c r="H19" s="314">
        <f t="shared" si="1"/>
        <v>20.984131119279603</v>
      </c>
      <c r="I19" s="44">
        <f>H19*'Monetized Values and Factors'!$P$93</f>
        <v>9468039.9610189572</v>
      </c>
      <c r="J19" s="213">
        <f>'VMT Ton-Mile Driver Time'!F20*'Crash Rates'!$D$10</f>
        <v>37.371133265196555</v>
      </c>
      <c r="K19" s="4">
        <f>'VMT Ton-Mile Driver Time'!M20*'Crash Rates'!$D$10</f>
        <v>96.84748483877847</v>
      </c>
      <c r="L19" s="4">
        <f t="shared" si="2"/>
        <v>59.476351573581915</v>
      </c>
      <c r="M19" s="44">
        <f>L19*'Monetized Values and Factors'!$M$101</f>
        <v>257354.17325888894</v>
      </c>
      <c r="N19" s="177">
        <f>'VMT Ton-Mile Driver Time'!F63*'Crash Rates'!$B$22</f>
        <v>48429.028176923079</v>
      </c>
      <c r="O19" s="44">
        <f>'VMT Ton-Mile Driver Time'!M63*'Crash Rates'!$B$22</f>
        <v>200755.8768619246</v>
      </c>
      <c r="P19" s="45">
        <f t="shared" si="3"/>
        <v>152326.84868500152</v>
      </c>
      <c r="Q19" s="45">
        <f t="shared" si="4"/>
        <v>17108077.448491871</v>
      </c>
    </row>
    <row r="20" spans="1:17" x14ac:dyDescent="0.25">
      <c r="A20" s="39">
        <v>2031</v>
      </c>
      <c r="B20" s="214">
        <f>'VMT Ton-Mile Driver Time'!F21*'Crash Rates'!$B$10+'VMT Ton-Mile Driver Time'!F64*'Crash Rates'!$B$17</f>
        <v>0.56595499413173256</v>
      </c>
      <c r="C20" s="212">
        <f>'VMT Ton-Mile Driver Time'!M21*'Crash Rates'!$B$10+'VMT Ton-Mile Driver Time'!M64*'Crash Rates'!$B$17</f>
        <v>1.4823022545199598</v>
      </c>
      <c r="D20" s="4">
        <f t="shared" si="0"/>
        <v>0.91634726038822722</v>
      </c>
      <c r="E20" s="44">
        <f>D20*'Monetized Values and Factors'!$M$88</f>
        <v>8796933.699726982</v>
      </c>
      <c r="F20" s="315">
        <f>'VMT Ton-Mile Driver Time'!F21*'Crash Rates'!$C$10+'VMT Ton-Mile Driver Time'!F64*'Crash Rates'!$C$17</f>
        <v>15.909423204021</v>
      </c>
      <c r="G20" s="314">
        <f>'VMT Ton-Mile Driver Time'!M21*'Crash Rates'!$C$10+'VMT Ton-Mile Driver Time'!M64*'Crash Rates'!$C$17</f>
        <v>41.440116065811182</v>
      </c>
      <c r="H20" s="314">
        <f t="shared" si="1"/>
        <v>25.530692861790182</v>
      </c>
      <c r="I20" s="44">
        <f>H20*'Monetized Values and Factors'!$P$93</f>
        <v>11519448.619239731</v>
      </c>
      <c r="J20" s="213">
        <f>'VMT Ton-Mile Driver Time'!F21*'Crash Rates'!$D$10</f>
        <v>45.468212139322468</v>
      </c>
      <c r="K20" s="4">
        <f>'VMT Ton-Mile Driver Time'!M21*'Crash Rates'!$D$10</f>
        <v>117.83110655384714</v>
      </c>
      <c r="L20" s="4">
        <f t="shared" si="2"/>
        <v>72.362894414524675</v>
      </c>
      <c r="M20" s="44">
        <f>L20*'Monetized Values and Factors'!$M$101</f>
        <v>313114.24413164827</v>
      </c>
      <c r="N20" s="177">
        <f>'VMT Ton-Mile Driver Time'!F64*'Crash Rates'!$B$22</f>
        <v>58921.984281923076</v>
      </c>
      <c r="O20" s="44">
        <f>'VMT Ton-Mile Driver Time'!M64*'Crash Rates'!$B$22</f>
        <v>244252.98351534156</v>
      </c>
      <c r="P20" s="45">
        <f t="shared" si="3"/>
        <v>185330.99923341849</v>
      </c>
      <c r="Q20" s="45">
        <f t="shared" si="4"/>
        <v>20814827.562331777</v>
      </c>
    </row>
    <row r="21" spans="1:17" x14ac:dyDescent="0.25">
      <c r="A21" s="39">
        <v>2032</v>
      </c>
      <c r="B21" s="214">
        <f>'VMT Ton-Mile Driver Time'!F22*'Crash Rates'!$B$10+'VMT Ton-Mile Driver Time'!F65*'Crash Rates'!$B$17</f>
        <v>0.56595499413173256</v>
      </c>
      <c r="C21" s="212">
        <f>'VMT Ton-Mile Driver Time'!M22*'Crash Rates'!$B$10+'VMT Ton-Mile Driver Time'!M65*'Crash Rates'!$B$17</f>
        <v>1.4823022545199598</v>
      </c>
      <c r="D21" s="4">
        <f t="shared" si="0"/>
        <v>0.91634726038822722</v>
      </c>
      <c r="E21" s="44">
        <f>D21*'Monetized Values and Factors'!$M$88</f>
        <v>8796933.699726982</v>
      </c>
      <c r="F21" s="315">
        <f>'VMT Ton-Mile Driver Time'!F22*'Crash Rates'!$C$10+'VMT Ton-Mile Driver Time'!F65*'Crash Rates'!$C$17</f>
        <v>15.909423204021</v>
      </c>
      <c r="G21" s="314">
        <f>'VMT Ton-Mile Driver Time'!M22*'Crash Rates'!$C$10+'VMT Ton-Mile Driver Time'!M65*'Crash Rates'!$C$17</f>
        <v>41.440116065811182</v>
      </c>
      <c r="H21" s="314">
        <f t="shared" si="1"/>
        <v>25.530692861790182</v>
      </c>
      <c r="I21" s="44">
        <f>H21*'Monetized Values and Factors'!$P$93</f>
        <v>11519448.619239731</v>
      </c>
      <c r="J21" s="213">
        <f>'VMT Ton-Mile Driver Time'!F22*'Crash Rates'!$D$10</f>
        <v>45.468212139322468</v>
      </c>
      <c r="K21" s="4">
        <f>'VMT Ton-Mile Driver Time'!M22*'Crash Rates'!$D$10</f>
        <v>117.83110655384714</v>
      </c>
      <c r="L21" s="4">
        <f t="shared" si="2"/>
        <v>72.362894414524675</v>
      </c>
      <c r="M21" s="44">
        <f>L21*'Monetized Values and Factors'!$M$101</f>
        <v>313114.24413164827</v>
      </c>
      <c r="N21" s="177">
        <f>'VMT Ton-Mile Driver Time'!F65*'Crash Rates'!$B$22</f>
        <v>58921.984281923076</v>
      </c>
      <c r="O21" s="44">
        <f>'VMT Ton-Mile Driver Time'!M65*'Crash Rates'!$B$22</f>
        <v>244252.98351534156</v>
      </c>
      <c r="P21" s="45">
        <f t="shared" si="3"/>
        <v>185330.99923341849</v>
      </c>
      <c r="Q21" s="45">
        <f t="shared" si="4"/>
        <v>20814827.562331777</v>
      </c>
    </row>
    <row r="22" spans="1:17" x14ac:dyDescent="0.25">
      <c r="A22" s="39">
        <v>2033</v>
      </c>
      <c r="B22" s="214">
        <f>'VMT Ton-Mile Driver Time'!F23*'Crash Rates'!$B$10+'VMT Ton-Mile Driver Time'!F66*'Crash Rates'!$B$17</f>
        <v>0.56595499413173256</v>
      </c>
      <c r="C22" s="212">
        <f>'VMT Ton-Mile Driver Time'!M23*'Crash Rates'!$B$10+'VMT Ton-Mile Driver Time'!M66*'Crash Rates'!$B$17</f>
        <v>1.4823022545199598</v>
      </c>
      <c r="D22" s="4">
        <f t="shared" si="0"/>
        <v>0.91634726038822722</v>
      </c>
      <c r="E22" s="44">
        <f>D22*'Monetized Values and Factors'!$M$88</f>
        <v>8796933.699726982</v>
      </c>
      <c r="F22" s="315">
        <f>'VMT Ton-Mile Driver Time'!F23*'Crash Rates'!$C$10+'VMT Ton-Mile Driver Time'!F66*'Crash Rates'!$C$17</f>
        <v>15.909423204021</v>
      </c>
      <c r="G22" s="314">
        <f>'VMT Ton-Mile Driver Time'!M23*'Crash Rates'!$C$10+'VMT Ton-Mile Driver Time'!M66*'Crash Rates'!$C$17</f>
        <v>41.440116065811182</v>
      </c>
      <c r="H22" s="314">
        <f t="shared" si="1"/>
        <v>25.530692861790182</v>
      </c>
      <c r="I22" s="44">
        <f>H22*'Monetized Values and Factors'!$P$93</f>
        <v>11519448.619239731</v>
      </c>
      <c r="J22" s="213">
        <f>'VMT Ton-Mile Driver Time'!F23*'Crash Rates'!$D$10</f>
        <v>45.468212139322468</v>
      </c>
      <c r="K22" s="4">
        <f>'VMT Ton-Mile Driver Time'!M23*'Crash Rates'!$D$10</f>
        <v>117.83110655384714</v>
      </c>
      <c r="L22" s="4">
        <f t="shared" si="2"/>
        <v>72.362894414524675</v>
      </c>
      <c r="M22" s="44">
        <f>L22*'Monetized Values and Factors'!$M$101</f>
        <v>313114.24413164827</v>
      </c>
      <c r="N22" s="177">
        <f>'VMT Ton-Mile Driver Time'!F66*'Crash Rates'!$B$22</f>
        <v>58921.984281923076</v>
      </c>
      <c r="O22" s="44">
        <f>'VMT Ton-Mile Driver Time'!M66*'Crash Rates'!$B$22</f>
        <v>244252.98351534156</v>
      </c>
      <c r="P22" s="45">
        <f t="shared" si="3"/>
        <v>185330.99923341849</v>
      </c>
      <c r="Q22" s="45">
        <f t="shared" si="4"/>
        <v>20814827.562331777</v>
      </c>
    </row>
    <row r="23" spans="1:17" x14ac:dyDescent="0.25">
      <c r="A23" s="39">
        <v>2034</v>
      </c>
      <c r="B23" s="214">
        <f>'VMT Ton-Mile Driver Time'!F24*'Crash Rates'!$B$10+'VMT Ton-Mile Driver Time'!F67*'Crash Rates'!$B$17</f>
        <v>0.56595499413173256</v>
      </c>
      <c r="C23" s="212">
        <f>'VMT Ton-Mile Driver Time'!M24*'Crash Rates'!$B$10+'VMT Ton-Mile Driver Time'!M67*'Crash Rates'!$B$17</f>
        <v>1.4823022545199598</v>
      </c>
      <c r="D23" s="4">
        <f t="shared" si="0"/>
        <v>0.91634726038822722</v>
      </c>
      <c r="E23" s="44">
        <f>D23*'Monetized Values and Factors'!$M$88</f>
        <v>8796933.699726982</v>
      </c>
      <c r="F23" s="315">
        <f>'VMT Ton-Mile Driver Time'!F24*'Crash Rates'!$C$10+'VMT Ton-Mile Driver Time'!F67*'Crash Rates'!$C$17</f>
        <v>15.909423204021</v>
      </c>
      <c r="G23" s="314">
        <f>'VMT Ton-Mile Driver Time'!M24*'Crash Rates'!$C$10+'VMT Ton-Mile Driver Time'!M67*'Crash Rates'!$C$17</f>
        <v>41.440116065811182</v>
      </c>
      <c r="H23" s="314">
        <f t="shared" si="1"/>
        <v>25.530692861790182</v>
      </c>
      <c r="I23" s="44">
        <f>H23*'Monetized Values and Factors'!$P$93</f>
        <v>11519448.619239731</v>
      </c>
      <c r="J23" s="213">
        <f>'VMT Ton-Mile Driver Time'!F24*'Crash Rates'!$D$10</f>
        <v>45.468212139322468</v>
      </c>
      <c r="K23" s="4">
        <f>'VMT Ton-Mile Driver Time'!M24*'Crash Rates'!$D$10</f>
        <v>117.83110655384714</v>
      </c>
      <c r="L23" s="4">
        <f t="shared" si="2"/>
        <v>72.362894414524675</v>
      </c>
      <c r="M23" s="44">
        <f>L23*'Monetized Values and Factors'!$M$101</f>
        <v>313114.24413164827</v>
      </c>
      <c r="N23" s="177">
        <f>'VMT Ton-Mile Driver Time'!F67*'Crash Rates'!$B$22</f>
        <v>58921.984281923076</v>
      </c>
      <c r="O23" s="44">
        <f>'VMT Ton-Mile Driver Time'!M67*'Crash Rates'!$B$22</f>
        <v>244252.98351534156</v>
      </c>
      <c r="P23" s="45">
        <f t="shared" si="3"/>
        <v>185330.99923341849</v>
      </c>
      <c r="Q23" s="45">
        <f t="shared" si="4"/>
        <v>20814827.562331777</v>
      </c>
    </row>
    <row r="24" spans="1:17" x14ac:dyDescent="0.25">
      <c r="A24" s="39">
        <v>2035</v>
      </c>
      <c r="B24" s="214">
        <f>'VMT Ton-Mile Driver Time'!F25*'Crash Rates'!$B$10+'VMT Ton-Mile Driver Time'!F68*'Crash Rates'!$B$17</f>
        <v>0.56595499413173256</v>
      </c>
      <c r="C24" s="212">
        <f>'VMT Ton-Mile Driver Time'!M25*'Crash Rates'!$B$10+'VMT Ton-Mile Driver Time'!M68*'Crash Rates'!$B$17</f>
        <v>1.4823022545199598</v>
      </c>
      <c r="D24" s="4">
        <f t="shared" si="0"/>
        <v>0.91634726038822722</v>
      </c>
      <c r="E24" s="44">
        <f>D24*'Monetized Values and Factors'!$M$88</f>
        <v>8796933.699726982</v>
      </c>
      <c r="F24" s="315">
        <f>'VMT Ton-Mile Driver Time'!F25*'Crash Rates'!$C$10+'VMT Ton-Mile Driver Time'!F68*'Crash Rates'!$C$17</f>
        <v>15.909423204021</v>
      </c>
      <c r="G24" s="314">
        <f>'VMT Ton-Mile Driver Time'!M25*'Crash Rates'!$C$10+'VMT Ton-Mile Driver Time'!M68*'Crash Rates'!$C$17</f>
        <v>41.440116065811182</v>
      </c>
      <c r="H24" s="314">
        <f t="shared" si="1"/>
        <v>25.530692861790182</v>
      </c>
      <c r="I24" s="44">
        <f>H24*'Monetized Values and Factors'!$P$93</f>
        <v>11519448.619239731</v>
      </c>
      <c r="J24" s="213">
        <f>'VMT Ton-Mile Driver Time'!F25*'Crash Rates'!$D$10</f>
        <v>45.468212139322468</v>
      </c>
      <c r="K24" s="4">
        <f>'VMT Ton-Mile Driver Time'!M25*'Crash Rates'!$D$10</f>
        <v>117.83110655384714</v>
      </c>
      <c r="L24" s="4">
        <f t="shared" si="2"/>
        <v>72.362894414524675</v>
      </c>
      <c r="M24" s="44">
        <f>L24*'Monetized Values and Factors'!$M$101</f>
        <v>313114.24413164827</v>
      </c>
      <c r="N24" s="177">
        <f>'VMT Ton-Mile Driver Time'!F68*'Crash Rates'!$B$22</f>
        <v>58921.984281923076</v>
      </c>
      <c r="O24" s="44">
        <f>'VMT Ton-Mile Driver Time'!M68*'Crash Rates'!$B$22</f>
        <v>244252.98351534156</v>
      </c>
      <c r="P24" s="45">
        <f t="shared" si="3"/>
        <v>185330.99923341849</v>
      </c>
      <c r="Q24" s="45">
        <f t="shared" si="4"/>
        <v>20814827.562331777</v>
      </c>
    </row>
    <row r="25" spans="1:17" x14ac:dyDescent="0.25">
      <c r="A25" s="39">
        <v>2036</v>
      </c>
      <c r="B25" s="214">
        <f>'VMT Ton-Mile Driver Time'!F26*'Crash Rates'!$B$10+'VMT Ton-Mile Driver Time'!F69*'Crash Rates'!$B$17</f>
        <v>0.56595499413173256</v>
      </c>
      <c r="C25" s="212">
        <f>'VMT Ton-Mile Driver Time'!M26*'Crash Rates'!$B$10+'VMT Ton-Mile Driver Time'!M69*'Crash Rates'!$B$17</f>
        <v>1.4823022545199598</v>
      </c>
      <c r="D25" s="4">
        <f t="shared" si="0"/>
        <v>0.91634726038822722</v>
      </c>
      <c r="E25" s="44">
        <f>D25*'Monetized Values and Factors'!$M$88</f>
        <v>8796933.699726982</v>
      </c>
      <c r="F25" s="315">
        <f>'VMT Ton-Mile Driver Time'!F26*'Crash Rates'!$C$10+'VMT Ton-Mile Driver Time'!F69*'Crash Rates'!$C$17</f>
        <v>15.909423204021</v>
      </c>
      <c r="G25" s="314">
        <f>'VMT Ton-Mile Driver Time'!M26*'Crash Rates'!$C$10+'VMT Ton-Mile Driver Time'!M69*'Crash Rates'!$C$17</f>
        <v>41.440116065811182</v>
      </c>
      <c r="H25" s="314">
        <f t="shared" si="1"/>
        <v>25.530692861790182</v>
      </c>
      <c r="I25" s="44">
        <f>H25*'Monetized Values and Factors'!$P$93</f>
        <v>11519448.619239731</v>
      </c>
      <c r="J25" s="213">
        <f>'VMT Ton-Mile Driver Time'!F26*'Crash Rates'!$D$10</f>
        <v>45.468212139322468</v>
      </c>
      <c r="K25" s="4">
        <f>'VMT Ton-Mile Driver Time'!M26*'Crash Rates'!$D$10</f>
        <v>117.83110655384714</v>
      </c>
      <c r="L25" s="4">
        <f t="shared" si="2"/>
        <v>72.362894414524675</v>
      </c>
      <c r="M25" s="44">
        <f>L25*'Monetized Values and Factors'!$M$101</f>
        <v>313114.24413164827</v>
      </c>
      <c r="N25" s="177">
        <f>'VMT Ton-Mile Driver Time'!F69*'Crash Rates'!$B$22</f>
        <v>58921.984281923076</v>
      </c>
      <c r="O25" s="44">
        <f>'VMT Ton-Mile Driver Time'!M69*'Crash Rates'!$B$22</f>
        <v>244252.98351534156</v>
      </c>
      <c r="P25" s="45">
        <f t="shared" si="3"/>
        <v>185330.99923341849</v>
      </c>
      <c r="Q25" s="45">
        <f t="shared" si="4"/>
        <v>20814827.562331777</v>
      </c>
    </row>
    <row r="26" spans="1:17" x14ac:dyDescent="0.25">
      <c r="A26" s="39">
        <v>2037</v>
      </c>
      <c r="B26" s="214">
        <f>'VMT Ton-Mile Driver Time'!F27*'Crash Rates'!$B$10+'VMT Ton-Mile Driver Time'!F70*'Crash Rates'!$B$17</f>
        <v>0.56595499413173256</v>
      </c>
      <c r="C26" s="212">
        <f>'VMT Ton-Mile Driver Time'!M27*'Crash Rates'!$B$10+'VMT Ton-Mile Driver Time'!M70*'Crash Rates'!$B$17</f>
        <v>1.4823022545199598</v>
      </c>
      <c r="D26" s="4">
        <f t="shared" si="0"/>
        <v>0.91634726038822722</v>
      </c>
      <c r="E26" s="44">
        <f>D26*'Monetized Values and Factors'!$M$88</f>
        <v>8796933.699726982</v>
      </c>
      <c r="F26" s="315">
        <f>'VMT Ton-Mile Driver Time'!F27*'Crash Rates'!$C$10+'VMT Ton-Mile Driver Time'!F70*'Crash Rates'!$C$17</f>
        <v>15.909423204021</v>
      </c>
      <c r="G26" s="314">
        <f>'VMT Ton-Mile Driver Time'!M27*'Crash Rates'!$C$10+'VMT Ton-Mile Driver Time'!M70*'Crash Rates'!$C$17</f>
        <v>41.440116065811182</v>
      </c>
      <c r="H26" s="314">
        <f t="shared" si="1"/>
        <v>25.530692861790182</v>
      </c>
      <c r="I26" s="44">
        <f>H26*'Monetized Values and Factors'!$P$93</f>
        <v>11519448.619239731</v>
      </c>
      <c r="J26" s="213">
        <f>'VMT Ton-Mile Driver Time'!F27*'Crash Rates'!$D$10</f>
        <v>45.468212139322468</v>
      </c>
      <c r="K26" s="4">
        <f>'VMT Ton-Mile Driver Time'!M27*'Crash Rates'!$D$10</f>
        <v>117.83110655384714</v>
      </c>
      <c r="L26" s="4">
        <f t="shared" si="2"/>
        <v>72.362894414524675</v>
      </c>
      <c r="M26" s="44">
        <f>L26*'Monetized Values and Factors'!$M$101</f>
        <v>313114.24413164827</v>
      </c>
      <c r="N26" s="177">
        <f>'VMT Ton-Mile Driver Time'!F70*'Crash Rates'!$B$22</f>
        <v>58921.984281923076</v>
      </c>
      <c r="O26" s="44">
        <f>'VMT Ton-Mile Driver Time'!M70*'Crash Rates'!$B$22</f>
        <v>244252.98351534156</v>
      </c>
      <c r="P26" s="45">
        <f t="shared" si="3"/>
        <v>185330.99923341849</v>
      </c>
      <c r="Q26" s="45">
        <f t="shared" si="4"/>
        <v>20814827.562331777</v>
      </c>
    </row>
    <row r="27" spans="1:17" x14ac:dyDescent="0.25">
      <c r="A27" s="39">
        <v>2038</v>
      </c>
      <c r="B27" s="214">
        <f>'VMT Ton-Mile Driver Time'!F28*'Crash Rates'!$B$10+'VMT Ton-Mile Driver Time'!F71*'Crash Rates'!$B$17</f>
        <v>0.56595499413173256</v>
      </c>
      <c r="C27" s="212">
        <f>'VMT Ton-Mile Driver Time'!M28*'Crash Rates'!$B$10+'VMT Ton-Mile Driver Time'!M71*'Crash Rates'!$B$17</f>
        <v>1.4823022545199598</v>
      </c>
      <c r="D27" s="4">
        <f t="shared" si="0"/>
        <v>0.91634726038822722</v>
      </c>
      <c r="E27" s="44">
        <f>D27*'Monetized Values and Factors'!$M$88</f>
        <v>8796933.699726982</v>
      </c>
      <c r="F27" s="315">
        <f>'VMT Ton-Mile Driver Time'!F28*'Crash Rates'!$C$10+'VMT Ton-Mile Driver Time'!F71*'Crash Rates'!$C$17</f>
        <v>15.909423204021</v>
      </c>
      <c r="G27" s="314">
        <f>'VMT Ton-Mile Driver Time'!M28*'Crash Rates'!$C$10+'VMT Ton-Mile Driver Time'!M71*'Crash Rates'!$C$17</f>
        <v>41.440116065811182</v>
      </c>
      <c r="H27" s="314">
        <f t="shared" si="1"/>
        <v>25.530692861790182</v>
      </c>
      <c r="I27" s="44">
        <f>H27*'Monetized Values and Factors'!$P$93</f>
        <v>11519448.619239731</v>
      </c>
      <c r="J27" s="213">
        <f>'VMT Ton-Mile Driver Time'!F28*'Crash Rates'!$D$10</f>
        <v>45.468212139322468</v>
      </c>
      <c r="K27" s="4">
        <f>'VMT Ton-Mile Driver Time'!M28*'Crash Rates'!$D$10</f>
        <v>117.83110655384714</v>
      </c>
      <c r="L27" s="4">
        <f t="shared" si="2"/>
        <v>72.362894414524675</v>
      </c>
      <c r="M27" s="44">
        <f>L27*'Monetized Values and Factors'!$M$101</f>
        <v>313114.24413164827</v>
      </c>
      <c r="N27" s="177">
        <f>'VMT Ton-Mile Driver Time'!F71*'Crash Rates'!$B$22</f>
        <v>58921.984281923076</v>
      </c>
      <c r="O27" s="44">
        <f>'VMT Ton-Mile Driver Time'!M71*'Crash Rates'!$B$22</f>
        <v>244252.98351534156</v>
      </c>
      <c r="P27" s="45">
        <f t="shared" si="3"/>
        <v>185330.99923341849</v>
      </c>
      <c r="Q27" s="45">
        <f t="shared" si="4"/>
        <v>20814827.562331777</v>
      </c>
    </row>
    <row r="28" spans="1:17" x14ac:dyDescent="0.25">
      <c r="A28" s="39">
        <v>2039</v>
      </c>
      <c r="B28" s="214">
        <f>'VMT Ton-Mile Driver Time'!F29*'Crash Rates'!$B$10+'VMT Ton-Mile Driver Time'!F72*'Crash Rates'!$B$17</f>
        <v>0.56595499413173256</v>
      </c>
      <c r="C28" s="212">
        <f>'VMT Ton-Mile Driver Time'!M29*'Crash Rates'!$B$10+'VMT Ton-Mile Driver Time'!M72*'Crash Rates'!$B$17</f>
        <v>1.4823022545199598</v>
      </c>
      <c r="D28" s="4">
        <f t="shared" si="0"/>
        <v>0.91634726038822722</v>
      </c>
      <c r="E28" s="44">
        <f>D28*'Monetized Values and Factors'!$M$88</f>
        <v>8796933.699726982</v>
      </c>
      <c r="F28" s="315">
        <f>'VMT Ton-Mile Driver Time'!F29*'Crash Rates'!$C$10+'VMT Ton-Mile Driver Time'!F72*'Crash Rates'!$C$17</f>
        <v>15.909423204021</v>
      </c>
      <c r="G28" s="314">
        <f>'VMT Ton-Mile Driver Time'!M29*'Crash Rates'!$C$10+'VMT Ton-Mile Driver Time'!M72*'Crash Rates'!$C$17</f>
        <v>41.440116065811182</v>
      </c>
      <c r="H28" s="314">
        <f t="shared" si="1"/>
        <v>25.530692861790182</v>
      </c>
      <c r="I28" s="44">
        <f>H28*'Monetized Values and Factors'!$P$93</f>
        <v>11519448.619239731</v>
      </c>
      <c r="J28" s="213">
        <f>'VMT Ton-Mile Driver Time'!F29*'Crash Rates'!$D$10</f>
        <v>45.468212139322468</v>
      </c>
      <c r="K28" s="4">
        <f>'VMT Ton-Mile Driver Time'!M29*'Crash Rates'!$D$10</f>
        <v>117.83110655384714</v>
      </c>
      <c r="L28" s="4">
        <f t="shared" si="2"/>
        <v>72.362894414524675</v>
      </c>
      <c r="M28" s="44">
        <f>L28*'Monetized Values and Factors'!$M$101</f>
        <v>313114.24413164827</v>
      </c>
      <c r="N28" s="177">
        <f>'VMT Ton-Mile Driver Time'!F72*'Crash Rates'!$B$22</f>
        <v>58921.984281923076</v>
      </c>
      <c r="O28" s="44">
        <f>'VMT Ton-Mile Driver Time'!M72*'Crash Rates'!$B$22</f>
        <v>244252.98351534156</v>
      </c>
      <c r="P28" s="45">
        <f t="shared" si="3"/>
        <v>185330.99923341849</v>
      </c>
      <c r="Q28" s="45">
        <f>E28+I28+M28+P28</f>
        <v>20814827.562331777</v>
      </c>
    </row>
    <row r="29" spans="1:17" x14ac:dyDescent="0.25">
      <c r="A29" s="39">
        <v>2040</v>
      </c>
      <c r="B29" s="214">
        <f>'VMT Ton-Mile Driver Time'!F30*'Crash Rates'!$B$10+'VMT Ton-Mile Driver Time'!F73*'Crash Rates'!$B$17</f>
        <v>0.56595499413173256</v>
      </c>
      <c r="C29" s="212">
        <f>'VMT Ton-Mile Driver Time'!M30*'Crash Rates'!$B$10+'VMT Ton-Mile Driver Time'!M73*'Crash Rates'!$B$17</f>
        <v>1.4823022545199598</v>
      </c>
      <c r="D29" s="4">
        <f t="shared" si="0"/>
        <v>0.91634726038822722</v>
      </c>
      <c r="E29" s="44">
        <f>D29*'Monetized Values and Factors'!$M$88</f>
        <v>8796933.699726982</v>
      </c>
      <c r="F29" s="315">
        <f>'VMT Ton-Mile Driver Time'!F30*'Crash Rates'!$C$10+'VMT Ton-Mile Driver Time'!F73*'Crash Rates'!$C$17</f>
        <v>15.909423204021</v>
      </c>
      <c r="G29" s="314">
        <f>'VMT Ton-Mile Driver Time'!M30*'Crash Rates'!$C$10+'VMT Ton-Mile Driver Time'!M73*'Crash Rates'!$C$17</f>
        <v>41.440116065811182</v>
      </c>
      <c r="H29" s="314">
        <f t="shared" si="1"/>
        <v>25.530692861790182</v>
      </c>
      <c r="I29" s="44">
        <f>H29*'Monetized Values and Factors'!$P$93</f>
        <v>11519448.619239731</v>
      </c>
      <c r="J29" s="213">
        <f>'VMT Ton-Mile Driver Time'!F30*'Crash Rates'!$D$10</f>
        <v>45.468212139322468</v>
      </c>
      <c r="K29" s="4">
        <f>'VMT Ton-Mile Driver Time'!M30*'Crash Rates'!$D$10</f>
        <v>117.83110655384714</v>
      </c>
      <c r="L29" s="4">
        <f t="shared" si="2"/>
        <v>72.362894414524675</v>
      </c>
      <c r="M29" s="44">
        <f>L29*'Monetized Values and Factors'!$M$101</f>
        <v>313114.24413164827</v>
      </c>
      <c r="N29" s="177">
        <f>'VMT Ton-Mile Driver Time'!F73*'Crash Rates'!$B$22</f>
        <v>58921.984281923076</v>
      </c>
      <c r="O29" s="44">
        <f>'VMT Ton-Mile Driver Time'!M73*'Crash Rates'!$B$22</f>
        <v>244252.98351534156</v>
      </c>
      <c r="P29" s="45">
        <f t="shared" si="3"/>
        <v>185330.99923341849</v>
      </c>
      <c r="Q29" s="45">
        <f t="shared" si="4"/>
        <v>20814827.562331777</v>
      </c>
    </row>
    <row r="30" spans="1:17" x14ac:dyDescent="0.25">
      <c r="A30" s="39">
        <v>2041</v>
      </c>
      <c r="B30" s="214">
        <f>'VMT Ton-Mile Driver Time'!F31*'Crash Rates'!$B$10+'VMT Ton-Mile Driver Time'!F74*'Crash Rates'!$B$17</f>
        <v>0.56595499413173256</v>
      </c>
      <c r="C30" s="212">
        <f>'VMT Ton-Mile Driver Time'!M31*'Crash Rates'!$B$10+'VMT Ton-Mile Driver Time'!M74*'Crash Rates'!$B$17</f>
        <v>1.4823022545199598</v>
      </c>
      <c r="D30" s="4">
        <f t="shared" si="0"/>
        <v>0.91634726038822722</v>
      </c>
      <c r="E30" s="44">
        <f>D30*'Monetized Values and Factors'!$M$88</f>
        <v>8796933.699726982</v>
      </c>
      <c r="F30" s="315">
        <f>'VMT Ton-Mile Driver Time'!F31*'Crash Rates'!$C$10+'VMT Ton-Mile Driver Time'!F74*'Crash Rates'!$C$17</f>
        <v>15.909423204021</v>
      </c>
      <c r="G30" s="314">
        <f>'VMT Ton-Mile Driver Time'!M31*'Crash Rates'!$C$10+'VMT Ton-Mile Driver Time'!M74*'Crash Rates'!$C$17</f>
        <v>41.440116065811182</v>
      </c>
      <c r="H30" s="314">
        <f t="shared" si="1"/>
        <v>25.530692861790182</v>
      </c>
      <c r="I30" s="44">
        <f>H30*'Monetized Values and Factors'!$P$93</f>
        <v>11519448.619239731</v>
      </c>
      <c r="J30" s="213">
        <f>'VMT Ton-Mile Driver Time'!F31*'Crash Rates'!$D$10</f>
        <v>45.468212139322468</v>
      </c>
      <c r="K30" s="4">
        <f>'VMT Ton-Mile Driver Time'!M31*'Crash Rates'!$D$10</f>
        <v>117.83110655384714</v>
      </c>
      <c r="L30" s="4">
        <f t="shared" si="2"/>
        <v>72.362894414524675</v>
      </c>
      <c r="M30" s="44">
        <f>L30*'Monetized Values and Factors'!$M$101</f>
        <v>313114.24413164827</v>
      </c>
      <c r="N30" s="177">
        <f>'VMT Ton-Mile Driver Time'!F74*'Crash Rates'!$B$22</f>
        <v>58921.984281923076</v>
      </c>
      <c r="O30" s="44">
        <f>'VMT Ton-Mile Driver Time'!M74*'Crash Rates'!$B$22</f>
        <v>244252.98351534156</v>
      </c>
      <c r="P30" s="45">
        <f t="shared" si="3"/>
        <v>185330.99923341849</v>
      </c>
      <c r="Q30" s="45">
        <f t="shared" si="4"/>
        <v>20814827.562331777</v>
      </c>
    </row>
    <row r="31" spans="1:17" x14ac:dyDescent="0.25">
      <c r="A31" s="39">
        <v>2042</v>
      </c>
      <c r="B31" s="214">
        <f>'VMT Ton-Mile Driver Time'!F32*'Crash Rates'!$B$10+'VMT Ton-Mile Driver Time'!F75*'Crash Rates'!$B$17</f>
        <v>0.56595499413173256</v>
      </c>
      <c r="C31" s="212">
        <f>'VMT Ton-Mile Driver Time'!M32*'Crash Rates'!$B$10+'VMT Ton-Mile Driver Time'!M75*'Crash Rates'!$B$17</f>
        <v>1.4823022545199598</v>
      </c>
      <c r="D31" s="4">
        <f t="shared" si="0"/>
        <v>0.91634726038822722</v>
      </c>
      <c r="E31" s="44">
        <f>D31*'Monetized Values and Factors'!$M$88</f>
        <v>8796933.699726982</v>
      </c>
      <c r="F31" s="315">
        <f>'VMT Ton-Mile Driver Time'!F32*'Crash Rates'!$C$10+'VMT Ton-Mile Driver Time'!F75*'Crash Rates'!$C$17</f>
        <v>15.909423204021</v>
      </c>
      <c r="G31" s="314">
        <f>'VMT Ton-Mile Driver Time'!M32*'Crash Rates'!$C$10+'VMT Ton-Mile Driver Time'!M75*'Crash Rates'!$C$17</f>
        <v>41.440116065811182</v>
      </c>
      <c r="H31" s="314">
        <f t="shared" si="1"/>
        <v>25.530692861790182</v>
      </c>
      <c r="I31" s="44">
        <f>H31*'Monetized Values and Factors'!$P$93</f>
        <v>11519448.619239731</v>
      </c>
      <c r="J31" s="213">
        <f>'VMT Ton-Mile Driver Time'!F32*'Crash Rates'!$D$10</f>
        <v>45.468212139322468</v>
      </c>
      <c r="K31" s="4">
        <f>'VMT Ton-Mile Driver Time'!M32*'Crash Rates'!$D$10</f>
        <v>117.83110655384714</v>
      </c>
      <c r="L31" s="4">
        <f t="shared" si="2"/>
        <v>72.362894414524675</v>
      </c>
      <c r="M31" s="44">
        <f>L31*'Monetized Values and Factors'!$M$101</f>
        <v>313114.24413164827</v>
      </c>
      <c r="N31" s="177">
        <f>'VMT Ton-Mile Driver Time'!F75*'Crash Rates'!$B$22</f>
        <v>58921.984281923076</v>
      </c>
      <c r="O31" s="44">
        <f>'VMT Ton-Mile Driver Time'!M75*'Crash Rates'!$B$22</f>
        <v>244252.98351534156</v>
      </c>
      <c r="P31" s="45">
        <f t="shared" si="3"/>
        <v>185330.99923341849</v>
      </c>
      <c r="Q31" s="45">
        <f t="shared" si="4"/>
        <v>20814827.562331777</v>
      </c>
    </row>
    <row r="32" spans="1:17" x14ac:dyDescent="0.25">
      <c r="A32" s="39">
        <v>2043</v>
      </c>
      <c r="B32" s="214">
        <f>'VMT Ton-Mile Driver Time'!F33*'Crash Rates'!$B$10+'VMT Ton-Mile Driver Time'!F76*'Crash Rates'!$B$17</f>
        <v>0.56595499413173256</v>
      </c>
      <c r="C32" s="212">
        <f>'VMT Ton-Mile Driver Time'!M33*'Crash Rates'!$B$10+'VMT Ton-Mile Driver Time'!M76*'Crash Rates'!$B$17</f>
        <v>1.4823022545199598</v>
      </c>
      <c r="D32" s="4">
        <f t="shared" si="0"/>
        <v>0.91634726038822722</v>
      </c>
      <c r="E32" s="44">
        <f>D32*'Monetized Values and Factors'!$M$88</f>
        <v>8796933.699726982</v>
      </c>
      <c r="F32" s="315">
        <f>'VMT Ton-Mile Driver Time'!F33*'Crash Rates'!$C$10+'VMT Ton-Mile Driver Time'!F76*'Crash Rates'!$C$17</f>
        <v>15.909423204021</v>
      </c>
      <c r="G32" s="314">
        <f>'VMT Ton-Mile Driver Time'!M33*'Crash Rates'!$C$10+'VMT Ton-Mile Driver Time'!M76*'Crash Rates'!$C$17</f>
        <v>41.440116065811182</v>
      </c>
      <c r="H32" s="314">
        <f t="shared" si="1"/>
        <v>25.530692861790182</v>
      </c>
      <c r="I32" s="44">
        <f>H32*'Monetized Values and Factors'!$P$93</f>
        <v>11519448.619239731</v>
      </c>
      <c r="J32" s="213">
        <f>'VMT Ton-Mile Driver Time'!F33*'Crash Rates'!$D$10</f>
        <v>45.468212139322468</v>
      </c>
      <c r="K32" s="4">
        <f>'VMT Ton-Mile Driver Time'!M33*'Crash Rates'!$D$10</f>
        <v>117.83110655384714</v>
      </c>
      <c r="L32" s="4">
        <f t="shared" si="2"/>
        <v>72.362894414524675</v>
      </c>
      <c r="M32" s="44">
        <f>L32*'Monetized Values and Factors'!$M$101</f>
        <v>313114.24413164827</v>
      </c>
      <c r="N32" s="177">
        <f>'VMT Ton-Mile Driver Time'!F76*'Crash Rates'!$B$22</f>
        <v>58921.984281923076</v>
      </c>
      <c r="O32" s="44">
        <f>'VMT Ton-Mile Driver Time'!M76*'Crash Rates'!$B$22</f>
        <v>244252.98351534156</v>
      </c>
      <c r="P32" s="45">
        <f t="shared" si="3"/>
        <v>185330.99923341849</v>
      </c>
      <c r="Q32" s="45">
        <f t="shared" si="4"/>
        <v>20814827.562331777</v>
      </c>
    </row>
    <row r="33" spans="1:17" x14ac:dyDescent="0.25">
      <c r="A33" s="39">
        <v>2044</v>
      </c>
      <c r="B33" s="214">
        <f>'VMT Ton-Mile Driver Time'!F34*'Crash Rates'!$B$10+'VMT Ton-Mile Driver Time'!F77*'Crash Rates'!$B$17</f>
        <v>0.56595499413173256</v>
      </c>
      <c r="C33" s="212">
        <f>'VMT Ton-Mile Driver Time'!M34*'Crash Rates'!$B$10+'VMT Ton-Mile Driver Time'!M77*'Crash Rates'!$B$17</f>
        <v>1.4823022545199598</v>
      </c>
      <c r="D33" s="4">
        <f t="shared" si="0"/>
        <v>0.91634726038822722</v>
      </c>
      <c r="E33" s="44">
        <f>D33*'Monetized Values and Factors'!$M$88</f>
        <v>8796933.699726982</v>
      </c>
      <c r="F33" s="315">
        <f>'VMT Ton-Mile Driver Time'!F34*'Crash Rates'!$C$10+'VMT Ton-Mile Driver Time'!F77*'Crash Rates'!$C$17</f>
        <v>15.909423204021</v>
      </c>
      <c r="G33" s="314">
        <f>'VMT Ton-Mile Driver Time'!M34*'Crash Rates'!$C$10+'VMT Ton-Mile Driver Time'!M77*'Crash Rates'!$C$17</f>
        <v>41.440116065811182</v>
      </c>
      <c r="H33" s="314">
        <f t="shared" si="1"/>
        <v>25.530692861790182</v>
      </c>
      <c r="I33" s="44">
        <f>H33*'Monetized Values and Factors'!$P$93</f>
        <v>11519448.619239731</v>
      </c>
      <c r="J33" s="213">
        <f>'VMT Ton-Mile Driver Time'!F34*'Crash Rates'!$D$10</f>
        <v>45.468212139322468</v>
      </c>
      <c r="K33" s="4">
        <f>'VMT Ton-Mile Driver Time'!M34*'Crash Rates'!$D$10</f>
        <v>117.83110655384714</v>
      </c>
      <c r="L33" s="4">
        <f t="shared" si="2"/>
        <v>72.362894414524675</v>
      </c>
      <c r="M33" s="44">
        <f>L33*'Monetized Values and Factors'!$M$101</f>
        <v>313114.24413164827</v>
      </c>
      <c r="N33" s="177">
        <f>'VMT Ton-Mile Driver Time'!F77*'Crash Rates'!$B$22</f>
        <v>58921.984281923076</v>
      </c>
      <c r="O33" s="44">
        <f>'VMT Ton-Mile Driver Time'!M77*'Crash Rates'!$B$22</f>
        <v>244252.98351534156</v>
      </c>
      <c r="P33" s="45">
        <f t="shared" si="3"/>
        <v>185330.99923341849</v>
      </c>
      <c r="Q33" s="45">
        <f t="shared" si="4"/>
        <v>20814827.562331777</v>
      </c>
    </row>
    <row r="34" spans="1:17" x14ac:dyDescent="0.25">
      <c r="A34" s="39">
        <v>2045</v>
      </c>
      <c r="B34" s="214">
        <f>'VMT Ton-Mile Driver Time'!F35*'Crash Rates'!$B$10+'VMT Ton-Mile Driver Time'!F78*'Crash Rates'!$B$17</f>
        <v>0.56595499413173256</v>
      </c>
      <c r="C34" s="212">
        <f>'VMT Ton-Mile Driver Time'!M35*'Crash Rates'!$B$10+'VMT Ton-Mile Driver Time'!M78*'Crash Rates'!$B$17</f>
        <v>1.4823022545199598</v>
      </c>
      <c r="D34" s="4">
        <f t="shared" si="0"/>
        <v>0.91634726038822722</v>
      </c>
      <c r="E34" s="44">
        <f>D34*'Monetized Values and Factors'!$M$88</f>
        <v>8796933.699726982</v>
      </c>
      <c r="F34" s="315">
        <f>'VMT Ton-Mile Driver Time'!F35*'Crash Rates'!$C$10+'VMT Ton-Mile Driver Time'!F78*'Crash Rates'!$C$17</f>
        <v>15.909423204021</v>
      </c>
      <c r="G34" s="314">
        <f>'VMT Ton-Mile Driver Time'!M35*'Crash Rates'!$C$10+'VMT Ton-Mile Driver Time'!M78*'Crash Rates'!$C$17</f>
        <v>41.440116065811182</v>
      </c>
      <c r="H34" s="314">
        <f t="shared" si="1"/>
        <v>25.530692861790182</v>
      </c>
      <c r="I34" s="44">
        <f>H34*'Monetized Values and Factors'!$P$93</f>
        <v>11519448.619239731</v>
      </c>
      <c r="J34" s="213">
        <f>'VMT Ton-Mile Driver Time'!F35*'Crash Rates'!$D$10</f>
        <v>45.468212139322468</v>
      </c>
      <c r="K34" s="4">
        <f>'VMT Ton-Mile Driver Time'!M35*'Crash Rates'!$D$10</f>
        <v>117.83110655384714</v>
      </c>
      <c r="L34" s="4">
        <f t="shared" si="2"/>
        <v>72.362894414524675</v>
      </c>
      <c r="M34" s="44">
        <f>L34*'Monetized Values and Factors'!$M$101</f>
        <v>313114.24413164827</v>
      </c>
      <c r="N34" s="177">
        <f>'VMT Ton-Mile Driver Time'!F78*'Crash Rates'!$B$22</f>
        <v>58921.984281923076</v>
      </c>
      <c r="O34" s="44">
        <f>'VMT Ton-Mile Driver Time'!M78*'Crash Rates'!$B$22</f>
        <v>244252.98351534156</v>
      </c>
      <c r="P34" s="45">
        <f t="shared" si="3"/>
        <v>185330.99923341849</v>
      </c>
      <c r="Q34" s="45">
        <f t="shared" si="4"/>
        <v>20814827.562331777</v>
      </c>
    </row>
    <row r="35" spans="1:17" x14ac:dyDescent="0.25">
      <c r="A35" s="39">
        <v>2046</v>
      </c>
      <c r="B35" s="214">
        <f>'VMT Ton-Mile Driver Time'!F36*'Crash Rates'!$B$10+'VMT Ton-Mile Driver Time'!F79*'Crash Rates'!$B$17</f>
        <v>0.56595499413173256</v>
      </c>
      <c r="C35" s="212">
        <f>'VMT Ton-Mile Driver Time'!M36*'Crash Rates'!$B$10+'VMT Ton-Mile Driver Time'!M79*'Crash Rates'!$B$17</f>
        <v>1.4823022545199598</v>
      </c>
      <c r="D35" s="4">
        <f t="shared" si="0"/>
        <v>0.91634726038822722</v>
      </c>
      <c r="E35" s="44">
        <f>D35*'Monetized Values and Factors'!$M$88</f>
        <v>8796933.699726982</v>
      </c>
      <c r="F35" s="315">
        <f>'VMT Ton-Mile Driver Time'!F36*'Crash Rates'!$C$10+'VMT Ton-Mile Driver Time'!F79*'Crash Rates'!$C$17</f>
        <v>15.909423204021</v>
      </c>
      <c r="G35" s="314">
        <f>'VMT Ton-Mile Driver Time'!M36*'Crash Rates'!$C$10+'VMT Ton-Mile Driver Time'!M79*'Crash Rates'!$C$17</f>
        <v>41.440116065811182</v>
      </c>
      <c r="H35" s="314">
        <f t="shared" si="1"/>
        <v>25.530692861790182</v>
      </c>
      <c r="I35" s="44">
        <f>H35*'Monetized Values and Factors'!$P$93</f>
        <v>11519448.619239731</v>
      </c>
      <c r="J35" s="213">
        <f>'VMT Ton-Mile Driver Time'!F36*'Crash Rates'!$D$10</f>
        <v>45.468212139322468</v>
      </c>
      <c r="K35" s="4">
        <f>'VMT Ton-Mile Driver Time'!M36*'Crash Rates'!$D$10</f>
        <v>117.83110655384714</v>
      </c>
      <c r="L35" s="4">
        <f t="shared" si="2"/>
        <v>72.362894414524675</v>
      </c>
      <c r="M35" s="44">
        <f>L35*'Monetized Values and Factors'!$M$101</f>
        <v>313114.24413164827</v>
      </c>
      <c r="N35" s="177">
        <f>'VMT Ton-Mile Driver Time'!F79*'Crash Rates'!$B$22</f>
        <v>58921.984281923076</v>
      </c>
      <c r="O35" s="44">
        <f>'VMT Ton-Mile Driver Time'!M79*'Crash Rates'!$B$22</f>
        <v>244252.98351534156</v>
      </c>
      <c r="P35" s="45">
        <f t="shared" si="3"/>
        <v>185330.99923341849</v>
      </c>
      <c r="Q35" s="45">
        <f t="shared" si="4"/>
        <v>20814827.562331777</v>
      </c>
    </row>
    <row r="36" spans="1:17" x14ac:dyDescent="0.25">
      <c r="A36" s="39">
        <v>2047</v>
      </c>
      <c r="B36" s="214">
        <f>'VMT Ton-Mile Driver Time'!F37*'Crash Rates'!$B$10+'VMT Ton-Mile Driver Time'!F80*'Crash Rates'!$B$17</f>
        <v>0.56595499413173256</v>
      </c>
      <c r="C36" s="212">
        <f>'VMT Ton-Mile Driver Time'!M37*'Crash Rates'!$B$10+'VMT Ton-Mile Driver Time'!M80*'Crash Rates'!$B$17</f>
        <v>1.4823022545199598</v>
      </c>
      <c r="D36" s="4">
        <f t="shared" si="0"/>
        <v>0.91634726038822722</v>
      </c>
      <c r="E36" s="44">
        <f>D36*'Monetized Values and Factors'!$M$88</f>
        <v>8796933.699726982</v>
      </c>
      <c r="F36" s="315">
        <f>'VMT Ton-Mile Driver Time'!F37*'Crash Rates'!$C$10+'VMT Ton-Mile Driver Time'!F80*'Crash Rates'!$C$17</f>
        <v>15.909423204021</v>
      </c>
      <c r="G36" s="314">
        <f>'VMT Ton-Mile Driver Time'!M37*'Crash Rates'!$C$10+'VMT Ton-Mile Driver Time'!M80*'Crash Rates'!$C$17</f>
        <v>41.440116065811182</v>
      </c>
      <c r="H36" s="314">
        <f t="shared" si="1"/>
        <v>25.530692861790182</v>
      </c>
      <c r="I36" s="44">
        <f>H36*'Monetized Values and Factors'!$P$93</f>
        <v>11519448.619239731</v>
      </c>
      <c r="J36" s="213">
        <f>'VMT Ton-Mile Driver Time'!F37*'Crash Rates'!$D$10</f>
        <v>45.468212139322468</v>
      </c>
      <c r="K36" s="4">
        <f>'VMT Ton-Mile Driver Time'!M37*'Crash Rates'!$D$10</f>
        <v>117.83110655384714</v>
      </c>
      <c r="L36" s="4">
        <f t="shared" si="2"/>
        <v>72.362894414524675</v>
      </c>
      <c r="M36" s="44">
        <f>L36*'Monetized Values and Factors'!$M$101</f>
        <v>313114.24413164827</v>
      </c>
      <c r="N36" s="177">
        <f>'VMT Ton-Mile Driver Time'!F80*'Crash Rates'!$B$22</f>
        <v>58921.984281923076</v>
      </c>
      <c r="O36" s="44">
        <f>'VMT Ton-Mile Driver Time'!M80*'Crash Rates'!$B$22</f>
        <v>244252.98351534156</v>
      </c>
      <c r="P36" s="45">
        <f t="shared" si="3"/>
        <v>185330.99923341849</v>
      </c>
      <c r="Q36" s="45">
        <f t="shared" si="4"/>
        <v>20814827.562331777</v>
      </c>
    </row>
    <row r="37" spans="1:17" x14ac:dyDescent="0.25">
      <c r="A37" s="39">
        <v>2048</v>
      </c>
      <c r="B37" s="214">
        <f>'VMT Ton-Mile Driver Time'!F38*'Crash Rates'!$B$10+'VMT Ton-Mile Driver Time'!F81*'Crash Rates'!$B$17</f>
        <v>0.56595499413173256</v>
      </c>
      <c r="C37" s="212">
        <f>'VMT Ton-Mile Driver Time'!M38*'Crash Rates'!$B$10+'VMT Ton-Mile Driver Time'!M81*'Crash Rates'!$B$17</f>
        <v>1.4823022545199598</v>
      </c>
      <c r="D37" s="4">
        <f t="shared" si="0"/>
        <v>0.91634726038822722</v>
      </c>
      <c r="E37" s="44">
        <f>D37*'Monetized Values and Factors'!$M$88</f>
        <v>8796933.699726982</v>
      </c>
      <c r="F37" s="315">
        <f>'VMT Ton-Mile Driver Time'!F38*'Crash Rates'!$C$10+'VMT Ton-Mile Driver Time'!F81*'Crash Rates'!$C$17</f>
        <v>15.909423204021</v>
      </c>
      <c r="G37" s="314">
        <f>'VMT Ton-Mile Driver Time'!M38*'Crash Rates'!$C$10+'VMT Ton-Mile Driver Time'!M81*'Crash Rates'!$C$17</f>
        <v>41.440116065811182</v>
      </c>
      <c r="H37" s="314">
        <f t="shared" si="1"/>
        <v>25.530692861790182</v>
      </c>
      <c r="I37" s="44">
        <f>H37*'Monetized Values and Factors'!$P$93</f>
        <v>11519448.619239731</v>
      </c>
      <c r="J37" s="213">
        <f>'VMT Ton-Mile Driver Time'!F38*'Crash Rates'!$D$10</f>
        <v>45.468212139322468</v>
      </c>
      <c r="K37" s="4">
        <f>'VMT Ton-Mile Driver Time'!M38*'Crash Rates'!$D$10</f>
        <v>117.83110655384714</v>
      </c>
      <c r="L37" s="4">
        <f t="shared" si="2"/>
        <v>72.362894414524675</v>
      </c>
      <c r="M37" s="44">
        <f>L37*'Monetized Values and Factors'!$M$101</f>
        <v>313114.24413164827</v>
      </c>
      <c r="N37" s="177">
        <f>'VMT Ton-Mile Driver Time'!F81*'Crash Rates'!$B$22</f>
        <v>58921.984281923076</v>
      </c>
      <c r="O37" s="44">
        <f>'VMT Ton-Mile Driver Time'!M81*'Crash Rates'!$B$22</f>
        <v>244252.98351534156</v>
      </c>
      <c r="P37" s="45">
        <f t="shared" si="3"/>
        <v>185330.99923341849</v>
      </c>
      <c r="Q37" s="45">
        <f t="shared" si="4"/>
        <v>20814827.562331777</v>
      </c>
    </row>
    <row r="38" spans="1:17" x14ac:dyDescent="0.25">
      <c r="A38" s="39">
        <v>2049</v>
      </c>
      <c r="B38" s="214">
        <f>'VMT Ton-Mile Driver Time'!F39*'Crash Rates'!$B$10+'VMT Ton-Mile Driver Time'!F82*'Crash Rates'!$B$17</f>
        <v>0.56595499413173256</v>
      </c>
      <c r="C38" s="212">
        <f>'VMT Ton-Mile Driver Time'!M39*'Crash Rates'!$B$10+'VMT Ton-Mile Driver Time'!M82*'Crash Rates'!$B$17</f>
        <v>1.4823022545199598</v>
      </c>
      <c r="D38" s="4">
        <f t="shared" si="0"/>
        <v>0.91634726038822722</v>
      </c>
      <c r="E38" s="44">
        <f>D38*'Monetized Values and Factors'!$M$88</f>
        <v>8796933.699726982</v>
      </c>
      <c r="F38" s="315">
        <f>'VMT Ton-Mile Driver Time'!F39*'Crash Rates'!$C$10+'VMT Ton-Mile Driver Time'!F82*'Crash Rates'!$C$17</f>
        <v>15.909423204021</v>
      </c>
      <c r="G38" s="314">
        <f>'VMT Ton-Mile Driver Time'!M39*'Crash Rates'!$C$10+'VMT Ton-Mile Driver Time'!M82*'Crash Rates'!$C$17</f>
        <v>41.440116065811182</v>
      </c>
      <c r="H38" s="314">
        <f t="shared" si="1"/>
        <v>25.530692861790182</v>
      </c>
      <c r="I38" s="44">
        <f>H38*'Monetized Values and Factors'!$P$93</f>
        <v>11519448.619239731</v>
      </c>
      <c r="J38" s="213">
        <f>'VMT Ton-Mile Driver Time'!F39*'Crash Rates'!$D$10</f>
        <v>45.468212139322468</v>
      </c>
      <c r="K38" s="4">
        <f>'VMT Ton-Mile Driver Time'!M39*'Crash Rates'!$D$10</f>
        <v>117.83110655384714</v>
      </c>
      <c r="L38" s="4">
        <f t="shared" si="2"/>
        <v>72.362894414524675</v>
      </c>
      <c r="M38" s="44">
        <f>L38*'Monetized Values and Factors'!$M$101</f>
        <v>313114.24413164827</v>
      </c>
      <c r="N38" s="177">
        <f>'VMT Ton-Mile Driver Time'!F82*'Crash Rates'!$B$22</f>
        <v>58921.984281923076</v>
      </c>
      <c r="O38" s="44">
        <f>'VMT Ton-Mile Driver Time'!M82*'Crash Rates'!$B$22</f>
        <v>244252.98351534156</v>
      </c>
      <c r="P38" s="45">
        <f t="shared" si="3"/>
        <v>185330.99923341849</v>
      </c>
      <c r="Q38" s="45">
        <f t="shared" si="4"/>
        <v>20814827.562331777</v>
      </c>
    </row>
    <row r="39" spans="1:17" x14ac:dyDescent="0.25">
      <c r="A39" s="39">
        <v>2050</v>
      </c>
      <c r="B39" s="214">
        <f>'VMT Ton-Mile Driver Time'!F40*'Crash Rates'!$B$10+'VMT Ton-Mile Driver Time'!F83*'Crash Rates'!$B$17</f>
        <v>0.56595499413173256</v>
      </c>
      <c r="C39" s="212">
        <f>'VMT Ton-Mile Driver Time'!M40*'Crash Rates'!$B$10+'VMT Ton-Mile Driver Time'!M83*'Crash Rates'!$B$17</f>
        <v>1.4823022545199598</v>
      </c>
      <c r="D39" s="4">
        <f t="shared" si="0"/>
        <v>0.91634726038822722</v>
      </c>
      <c r="E39" s="44">
        <f>D39*'Monetized Values and Factors'!$M$88</f>
        <v>8796933.699726982</v>
      </c>
      <c r="F39" s="315">
        <f>'VMT Ton-Mile Driver Time'!F40*'Crash Rates'!$C$10+'VMT Ton-Mile Driver Time'!F83*'Crash Rates'!$C$17</f>
        <v>15.909423204021</v>
      </c>
      <c r="G39" s="314">
        <f>'VMT Ton-Mile Driver Time'!M40*'Crash Rates'!$C$10+'VMT Ton-Mile Driver Time'!M83*'Crash Rates'!$C$17</f>
        <v>41.440116065811182</v>
      </c>
      <c r="H39" s="314">
        <f t="shared" si="1"/>
        <v>25.530692861790182</v>
      </c>
      <c r="I39" s="44">
        <f>H39*'Monetized Values and Factors'!$P$93</f>
        <v>11519448.619239731</v>
      </c>
      <c r="J39" s="213">
        <f>'VMT Ton-Mile Driver Time'!F40*'Crash Rates'!$D$10</f>
        <v>45.468212139322468</v>
      </c>
      <c r="K39" s="4">
        <f>'VMT Ton-Mile Driver Time'!M40*'Crash Rates'!$D$10</f>
        <v>117.83110655384714</v>
      </c>
      <c r="L39" s="4">
        <f t="shared" si="2"/>
        <v>72.362894414524675</v>
      </c>
      <c r="M39" s="44">
        <f>L39*'Monetized Values and Factors'!$M$101</f>
        <v>313114.24413164827</v>
      </c>
      <c r="N39" s="177">
        <f>'VMT Ton-Mile Driver Time'!F83*'Crash Rates'!$B$22</f>
        <v>58921.984281923076</v>
      </c>
      <c r="O39" s="44">
        <f>'VMT Ton-Mile Driver Time'!M83*'Crash Rates'!$B$22</f>
        <v>244252.98351534156</v>
      </c>
      <c r="P39" s="45">
        <f t="shared" si="3"/>
        <v>185330.99923341849</v>
      </c>
      <c r="Q39" s="45">
        <f t="shared" si="4"/>
        <v>20814827.562331777</v>
      </c>
    </row>
    <row r="40" spans="1:17" x14ac:dyDescent="0.25">
      <c r="A40" s="201">
        <v>2051</v>
      </c>
      <c r="B40" s="378">
        <f>'VMT Ton-Mile Driver Time'!F41*'Crash Rates'!$B$10+'VMT Ton-Mile Driver Time'!F84*'Crash Rates'!$B$17</f>
        <v>0.56595499413173256</v>
      </c>
      <c r="C40" s="379">
        <f>'VMT Ton-Mile Driver Time'!M41*'Crash Rates'!$B$10+'VMT Ton-Mile Driver Time'!M84*'Crash Rates'!$B$17</f>
        <v>1.4823022545199598</v>
      </c>
      <c r="D40" s="379">
        <f t="shared" si="0"/>
        <v>0.91634726038822722</v>
      </c>
      <c r="E40" s="205">
        <f>D40*'Monetized Values and Factors'!$M$88</f>
        <v>8796933.699726982</v>
      </c>
      <c r="F40" s="380">
        <f>'VMT Ton-Mile Driver Time'!F41*'Crash Rates'!$C$10+'VMT Ton-Mile Driver Time'!F84*'Crash Rates'!$C$17</f>
        <v>15.909423204021</v>
      </c>
      <c r="G40" s="381">
        <f>'VMT Ton-Mile Driver Time'!M41*'Crash Rates'!$C$10+'VMT Ton-Mile Driver Time'!M84*'Crash Rates'!$C$17</f>
        <v>41.440116065811182</v>
      </c>
      <c r="H40" s="381">
        <f t="shared" si="1"/>
        <v>25.530692861790182</v>
      </c>
      <c r="I40" s="205">
        <f>H40*'Monetized Values and Factors'!$P$93</f>
        <v>11519448.619239731</v>
      </c>
      <c r="J40" s="382">
        <f>'VMT Ton-Mile Driver Time'!F41*'Crash Rates'!$D$10</f>
        <v>45.468212139322468</v>
      </c>
      <c r="K40" s="204">
        <f>'VMT Ton-Mile Driver Time'!M41*'Crash Rates'!$D$10</f>
        <v>117.83110655384714</v>
      </c>
      <c r="L40" s="204">
        <f t="shared" si="2"/>
        <v>72.362894414524675</v>
      </c>
      <c r="M40" s="205">
        <f>L40*'Monetized Values and Factors'!$M$101</f>
        <v>313114.24413164827</v>
      </c>
      <c r="N40" s="383">
        <f>'VMT Ton-Mile Driver Time'!F84*'Crash Rates'!$B$22</f>
        <v>58921.984281923076</v>
      </c>
      <c r="O40" s="205">
        <f>'VMT Ton-Mile Driver Time'!M84*'Crash Rates'!$B$22</f>
        <v>244252.98351534156</v>
      </c>
      <c r="P40" s="206">
        <f t="shared" si="3"/>
        <v>185330.99923341849</v>
      </c>
      <c r="Q40" s="206">
        <f t="shared" si="4"/>
        <v>20814827.562331777</v>
      </c>
    </row>
    <row r="41" spans="1:17" ht="15.75" thickBot="1" x14ac:dyDescent="0.3">
      <c r="A41" s="168" t="s">
        <v>2</v>
      </c>
      <c r="B41" s="215">
        <f t="shared" ref="B41:P41" si="5">SUM(B3:B40)</f>
        <v>13.86202095215806</v>
      </c>
      <c r="C41" s="202">
        <f t="shared" si="5"/>
        <v>36.306252480571082</v>
      </c>
      <c r="D41" s="202">
        <f t="shared" si="5"/>
        <v>22.44423152841302</v>
      </c>
      <c r="E41" s="169">
        <f t="shared" si="5"/>
        <v>215464622.67276487</v>
      </c>
      <c r="F41" s="215">
        <f t="shared" si="5"/>
        <v>389.6718998464321</v>
      </c>
      <c r="G41" s="202">
        <f t="shared" si="5"/>
        <v>1014.9990072009639</v>
      </c>
      <c r="H41" s="202">
        <f t="shared" si="5"/>
        <v>625.32710735453179</v>
      </c>
      <c r="I41" s="169">
        <f t="shared" si="5"/>
        <v>282147590.83836478</v>
      </c>
      <c r="J41" s="215">
        <f t="shared" si="5"/>
        <v>1113.6597713028568</v>
      </c>
      <c r="K41" s="202">
        <f t="shared" si="5"/>
        <v>2886.0550481955997</v>
      </c>
      <c r="L41" s="202">
        <f t="shared" si="5"/>
        <v>1772.3952768927406</v>
      </c>
      <c r="M41" s="169">
        <f t="shared" si="5"/>
        <v>7669154.3631148897</v>
      </c>
      <c r="N41" s="178">
        <f t="shared" si="5"/>
        <v>1443185.0396723079</v>
      </c>
      <c r="O41" s="169">
        <f>SUM(O3:O40)</f>
        <v>5982525.1304853549</v>
      </c>
      <c r="P41" s="170">
        <f t="shared" si="5"/>
        <v>4539340.0908130463</v>
      </c>
      <c r="Q41" s="170">
        <f>SUM(Q3:Q40)</f>
        <v>509820707.96505791</v>
      </c>
    </row>
    <row r="43" spans="1:17" x14ac:dyDescent="0.25">
      <c r="B43" s="219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x14ac:dyDescent="0.25">
      <c r="M44" s="312"/>
      <c r="N44" s="312"/>
      <c r="O44" s="312"/>
      <c r="P44" s="312"/>
    </row>
  </sheetData>
  <mergeCells count="1">
    <mergeCell ref="A1:Q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70" zoomScaleNormal="70" workbookViewId="0">
      <selection activeCell="S42" sqref="S42"/>
    </sheetView>
  </sheetViews>
  <sheetFormatPr defaultColWidth="9.140625" defaultRowHeight="15" x14ac:dyDescent="0.25"/>
  <cols>
    <col min="1" max="1" width="9.140625" style="3" customWidth="1"/>
    <col min="2" max="2" width="21.42578125" style="3" bestFit="1" customWidth="1"/>
    <col min="3" max="3" width="18.140625" style="3" bestFit="1" customWidth="1"/>
    <col min="4" max="4" width="18.28515625" style="3" customWidth="1"/>
    <col min="5" max="5" width="16.85546875" style="3" bestFit="1" customWidth="1"/>
    <col min="6" max="6" width="24.7109375" style="3" customWidth="1"/>
    <col min="7" max="7" width="21.28515625" style="3" customWidth="1"/>
    <col min="8" max="8" width="20.7109375" style="3" customWidth="1"/>
    <col min="9" max="9" width="18.140625" style="3" bestFit="1" customWidth="1"/>
    <col min="10" max="11" width="20.42578125" style="3" customWidth="1"/>
    <col min="12" max="12" width="19.85546875" style="3" customWidth="1"/>
    <col min="13" max="13" width="7.140625" style="3" customWidth="1"/>
    <col min="14" max="14" width="25.42578125" style="3" customWidth="1"/>
    <col min="15" max="15" width="27" style="3" customWidth="1"/>
    <col min="16" max="17" width="22" style="3" customWidth="1"/>
    <col min="18" max="18" width="6.140625" style="3" customWidth="1"/>
    <col min="19" max="19" width="19.85546875" style="3" customWidth="1"/>
    <col min="20" max="16384" width="9.140625" style="3"/>
  </cols>
  <sheetData>
    <row r="1" spans="1:19" ht="29.25" customHeight="1" thickBot="1" x14ac:dyDescent="0.4">
      <c r="A1" s="506" t="s">
        <v>48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</row>
    <row r="2" spans="1:19" ht="60" x14ac:dyDescent="0.25">
      <c r="A2" s="209"/>
      <c r="B2" s="210" t="s">
        <v>408</v>
      </c>
      <c r="C2" s="210" t="s">
        <v>409</v>
      </c>
      <c r="D2" s="210" t="s">
        <v>410</v>
      </c>
      <c r="E2" s="210" t="s">
        <v>411</v>
      </c>
      <c r="F2" s="210" t="s">
        <v>78</v>
      </c>
      <c r="G2" s="210" t="s">
        <v>219</v>
      </c>
      <c r="H2" s="210" t="s">
        <v>436</v>
      </c>
      <c r="I2" s="210" t="s">
        <v>81</v>
      </c>
      <c r="J2" s="210" t="s">
        <v>238</v>
      </c>
      <c r="K2" s="210" t="s">
        <v>1</v>
      </c>
      <c r="L2" s="211" t="s">
        <v>82</v>
      </c>
      <c r="N2" s="432" t="s">
        <v>412</v>
      </c>
      <c r="O2" s="210" t="s">
        <v>413</v>
      </c>
      <c r="P2" s="210" t="s">
        <v>414</v>
      </c>
      <c r="Q2" s="211" t="s">
        <v>415</v>
      </c>
      <c r="S2" s="439" t="s">
        <v>416</v>
      </c>
    </row>
    <row r="3" spans="1:19" x14ac:dyDescent="0.25">
      <c r="A3" s="427">
        <v>2014</v>
      </c>
      <c r="B3" s="40">
        <f>'State of Good Repair'!E3</f>
        <v>0</v>
      </c>
      <c r="C3" s="40">
        <f>'Economic Competitiveness'!D3+'Economic Competitiveness'!G3</f>
        <v>0</v>
      </c>
      <c r="D3" s="40">
        <f>Environmental!I88+Environmental!J88+Environmental!K88+Environmental!L88</f>
        <v>0</v>
      </c>
      <c r="E3" s="40">
        <f>' Safety'!Q3</f>
        <v>0</v>
      </c>
      <c r="F3" s="40">
        <f t="shared" ref="F3" si="0">B3+C3+D3+E3</f>
        <v>0</v>
      </c>
      <c r="G3" s="40">
        <f>$F3/(1+3%)^($A3-2018)</f>
        <v>0</v>
      </c>
      <c r="H3" s="40">
        <f>Environmental!H88</f>
        <v>0</v>
      </c>
      <c r="I3" s="40">
        <f t="shared" ref="I3" si="1">G3+H3</f>
        <v>0</v>
      </c>
      <c r="J3" s="40">
        <f>$F3/(1+7%)^($A3-2018)</f>
        <v>0</v>
      </c>
      <c r="K3" s="40">
        <f>$H3/(1+3%)^($A3-2018)</f>
        <v>0</v>
      </c>
      <c r="L3" s="41">
        <f t="shared" ref="L3" si="2">J3+K3</f>
        <v>0</v>
      </c>
      <c r="N3" s="433">
        <f>$B3/(1+7%)^($A3-2018)</f>
        <v>0</v>
      </c>
      <c r="O3" s="40">
        <f>$C3/(1+7%)^($A3-2018)</f>
        <v>0</v>
      </c>
      <c r="P3" s="40">
        <f>$D3/(1+7%)^($A3-2018)</f>
        <v>0</v>
      </c>
      <c r="Q3" s="41">
        <f>$E3/(1+7%)^($A3-2018)</f>
        <v>0</v>
      </c>
      <c r="S3" s="235">
        <f>F3-'Summary of Costs'!D3</f>
        <v>-2578748.7244184995</v>
      </c>
    </row>
    <row r="4" spans="1:19" x14ac:dyDescent="0.25">
      <c r="A4" s="427">
        <v>2015</v>
      </c>
      <c r="B4" s="40">
        <f>'State of Good Repair'!E4</f>
        <v>0</v>
      </c>
      <c r="C4" s="40">
        <f>'Economic Competitiveness'!D4+'Economic Competitiveness'!G4</f>
        <v>0</v>
      </c>
      <c r="D4" s="40">
        <f>Environmental!I89+Environmental!J89+Environmental!K89+Environmental!L89</f>
        <v>0</v>
      </c>
      <c r="E4" s="40">
        <f>' Safety'!Q4</f>
        <v>0</v>
      </c>
      <c r="F4" s="40">
        <f t="shared" ref="F4:F40" si="3">B4+C4+D4+E4</f>
        <v>0</v>
      </c>
      <c r="G4" s="40">
        <f>$F4/(1+3%)^($A4-2018)</f>
        <v>0</v>
      </c>
      <c r="H4" s="40">
        <f>Environmental!H89</f>
        <v>0</v>
      </c>
      <c r="I4" s="40">
        <f t="shared" ref="I4:I40" si="4">G4+H4</f>
        <v>0</v>
      </c>
      <c r="J4" s="40">
        <f>$F4/(1+7%)^($A4-2018)</f>
        <v>0</v>
      </c>
      <c r="K4" s="40">
        <f t="shared" ref="K4:K40" si="5">$H4/(1+3%)^($A4-2018)</f>
        <v>0</v>
      </c>
      <c r="L4" s="41">
        <f t="shared" ref="L4:L40" si="6">J4+K4</f>
        <v>0</v>
      </c>
      <c r="N4" s="433">
        <f t="shared" ref="N4:N39" si="7">$B4/(1+7%)^($A4-2018)</f>
        <v>0</v>
      </c>
      <c r="O4" s="40">
        <f t="shared" ref="O4:O40" si="8">$C4/(1+7%)^($A4-2018)</f>
        <v>0</v>
      </c>
      <c r="P4" s="40">
        <f t="shared" ref="P4:P40" si="9">$D4/(1+7%)^($A4-2018)</f>
        <v>0</v>
      </c>
      <c r="Q4" s="41">
        <f t="shared" ref="Q4:Q40" si="10">$E4/(1+7%)^($A4-2018)</f>
        <v>0</v>
      </c>
      <c r="S4" s="235">
        <f>F4-'Summary of Costs'!D4</f>
        <v>-29144268.751548328</v>
      </c>
    </row>
    <row r="5" spans="1:19" x14ac:dyDescent="0.25">
      <c r="A5" s="427">
        <v>2016</v>
      </c>
      <c r="B5" s="40">
        <f>'State of Good Repair'!E5</f>
        <v>0</v>
      </c>
      <c r="C5" s="40">
        <f>'Economic Competitiveness'!D5+'Economic Competitiveness'!G5</f>
        <v>0</v>
      </c>
      <c r="D5" s="40">
        <f>Environmental!I90+Environmental!J90+Environmental!K90+Environmental!L90</f>
        <v>0</v>
      </c>
      <c r="E5" s="40">
        <f>' Safety'!Q5</f>
        <v>0</v>
      </c>
      <c r="F5" s="40">
        <f t="shared" si="3"/>
        <v>0</v>
      </c>
      <c r="G5" s="40">
        <f t="shared" ref="G5:G40" si="11">$F5/(1+3%)^($A5-2018)</f>
        <v>0</v>
      </c>
      <c r="H5" s="40">
        <f>Environmental!H90</f>
        <v>0</v>
      </c>
      <c r="I5" s="40">
        <f t="shared" si="4"/>
        <v>0</v>
      </c>
      <c r="J5" s="40">
        <f t="shared" ref="J5:J10" si="12">$F5/(1+7%)^($A5-2018)</f>
        <v>0</v>
      </c>
      <c r="K5" s="40">
        <f>$H5/(1+3%)^($A5-2018)</f>
        <v>0</v>
      </c>
      <c r="L5" s="41">
        <f t="shared" si="6"/>
        <v>0</v>
      </c>
      <c r="N5" s="433">
        <f t="shared" si="7"/>
        <v>0</v>
      </c>
      <c r="O5" s="40">
        <f t="shared" si="8"/>
        <v>0</v>
      </c>
      <c r="P5" s="40">
        <f t="shared" si="9"/>
        <v>0</v>
      </c>
      <c r="Q5" s="41">
        <f t="shared" si="10"/>
        <v>0</v>
      </c>
      <c r="S5" s="235">
        <f>F5-'Summary of Costs'!D5</f>
        <v>-1664093.690126667</v>
      </c>
    </row>
    <row r="6" spans="1:19" x14ac:dyDescent="0.25">
      <c r="A6" s="427">
        <v>2017</v>
      </c>
      <c r="B6" s="40">
        <f>'State of Good Repair'!E6</f>
        <v>0</v>
      </c>
      <c r="C6" s="40">
        <f>'Economic Competitiveness'!D6+'Economic Competitiveness'!G6</f>
        <v>0</v>
      </c>
      <c r="D6" s="40">
        <f>Environmental!I91+Environmental!J91+Environmental!K91+Environmental!L91</f>
        <v>0</v>
      </c>
      <c r="E6" s="40">
        <f>' Safety'!Q6</f>
        <v>0</v>
      </c>
      <c r="F6" s="40">
        <f t="shared" si="3"/>
        <v>0</v>
      </c>
      <c r="G6" s="40">
        <f t="shared" si="11"/>
        <v>0</v>
      </c>
      <c r="H6" s="40">
        <f>Environmental!H91</f>
        <v>0</v>
      </c>
      <c r="I6" s="40">
        <f t="shared" si="4"/>
        <v>0</v>
      </c>
      <c r="J6" s="40">
        <f t="shared" si="12"/>
        <v>0</v>
      </c>
      <c r="K6" s="40">
        <f>$H6/(1+3%)^($A6-2018)</f>
        <v>0</v>
      </c>
      <c r="L6" s="41">
        <f t="shared" si="6"/>
        <v>0</v>
      </c>
      <c r="N6" s="433">
        <f t="shared" si="7"/>
        <v>0</v>
      </c>
      <c r="O6" s="40">
        <f t="shared" si="8"/>
        <v>0</v>
      </c>
      <c r="P6" s="40">
        <f t="shared" si="9"/>
        <v>0</v>
      </c>
      <c r="Q6" s="41">
        <f t="shared" si="10"/>
        <v>0</v>
      </c>
      <c r="S6" s="235">
        <f>F6-'Summary of Costs'!D6</f>
        <v>-14850520.189166665</v>
      </c>
    </row>
    <row r="7" spans="1:19" x14ac:dyDescent="0.25">
      <c r="A7" s="427">
        <v>2018</v>
      </c>
      <c r="B7" s="40">
        <f>'State of Good Repair'!E7</f>
        <v>0</v>
      </c>
      <c r="C7" s="40">
        <f>'Economic Competitiveness'!D7+'Economic Competitiveness'!G7</f>
        <v>0</v>
      </c>
      <c r="D7" s="40">
        <f>Environmental!I92+Environmental!J92+Environmental!K92+Environmental!L92</f>
        <v>0</v>
      </c>
      <c r="E7" s="40">
        <f>' Safety'!Q7</f>
        <v>0</v>
      </c>
      <c r="F7" s="40">
        <f t="shared" si="3"/>
        <v>0</v>
      </c>
      <c r="G7" s="40">
        <f t="shared" si="11"/>
        <v>0</v>
      </c>
      <c r="H7" s="40">
        <f>Environmental!H92</f>
        <v>0</v>
      </c>
      <c r="I7" s="40">
        <f t="shared" si="4"/>
        <v>0</v>
      </c>
      <c r="J7" s="40">
        <f t="shared" si="12"/>
        <v>0</v>
      </c>
      <c r="K7" s="40">
        <f t="shared" si="5"/>
        <v>0</v>
      </c>
      <c r="L7" s="41">
        <f t="shared" si="6"/>
        <v>0</v>
      </c>
      <c r="N7" s="433">
        <f t="shared" si="7"/>
        <v>0</v>
      </c>
      <c r="O7" s="40">
        <f t="shared" si="8"/>
        <v>0</v>
      </c>
      <c r="P7" s="40">
        <f t="shared" si="9"/>
        <v>0</v>
      </c>
      <c r="Q7" s="41">
        <f t="shared" si="10"/>
        <v>0</v>
      </c>
      <c r="S7" s="235">
        <f>F7-'Summary of Costs'!D7</f>
        <v>-65853659.184675835</v>
      </c>
    </row>
    <row r="8" spans="1:19" x14ac:dyDescent="0.25">
      <c r="A8" s="427">
        <v>2019</v>
      </c>
      <c r="B8" s="40">
        <f>'State of Good Repair'!E8</f>
        <v>0</v>
      </c>
      <c r="C8" s="40">
        <f>'Economic Competitiveness'!D8+'Economic Competitiveness'!G8</f>
        <v>0</v>
      </c>
      <c r="D8" s="40">
        <f>Environmental!I93+Environmental!J93+Environmental!K93+Environmental!L93</f>
        <v>0</v>
      </c>
      <c r="E8" s="40">
        <f>' Safety'!Q8</f>
        <v>0</v>
      </c>
      <c r="F8" s="40">
        <f t="shared" si="3"/>
        <v>0</v>
      </c>
      <c r="G8" s="40">
        <f t="shared" si="11"/>
        <v>0</v>
      </c>
      <c r="H8" s="40">
        <f>Environmental!H93</f>
        <v>0</v>
      </c>
      <c r="I8" s="40">
        <f t="shared" si="4"/>
        <v>0</v>
      </c>
      <c r="J8" s="40">
        <f t="shared" si="12"/>
        <v>0</v>
      </c>
      <c r="K8" s="40">
        <f t="shared" si="5"/>
        <v>0</v>
      </c>
      <c r="L8" s="41">
        <f t="shared" si="6"/>
        <v>0</v>
      </c>
      <c r="N8" s="433">
        <f t="shared" si="7"/>
        <v>0</v>
      </c>
      <c r="O8" s="40">
        <f t="shared" si="8"/>
        <v>0</v>
      </c>
      <c r="P8" s="40">
        <f t="shared" si="9"/>
        <v>0</v>
      </c>
      <c r="Q8" s="41">
        <f t="shared" si="10"/>
        <v>0</v>
      </c>
      <c r="S8" s="235">
        <f>F8-'Summary of Costs'!D8</f>
        <v>-120845728.88015717</v>
      </c>
    </row>
    <row r="9" spans="1:19" x14ac:dyDescent="0.25">
      <c r="A9" s="427">
        <v>2020</v>
      </c>
      <c r="B9" s="40">
        <f>'State of Good Repair'!E9</f>
        <v>0</v>
      </c>
      <c r="C9" s="40">
        <f>'Economic Competitiveness'!D9+'Economic Competitiveness'!G9</f>
        <v>0</v>
      </c>
      <c r="D9" s="40">
        <f>Environmental!I94+Environmental!J94+Environmental!K94+Environmental!L94</f>
        <v>0</v>
      </c>
      <c r="E9" s="40">
        <f>' Safety'!Q9</f>
        <v>0</v>
      </c>
      <c r="F9" s="40">
        <f t="shared" si="3"/>
        <v>0</v>
      </c>
      <c r="G9" s="40">
        <f t="shared" si="11"/>
        <v>0</v>
      </c>
      <c r="H9" s="40">
        <f>Environmental!H94</f>
        <v>0</v>
      </c>
      <c r="I9" s="40">
        <f t="shared" si="4"/>
        <v>0</v>
      </c>
      <c r="J9" s="40">
        <f t="shared" si="12"/>
        <v>0</v>
      </c>
      <c r="K9" s="40">
        <f t="shared" si="5"/>
        <v>0</v>
      </c>
      <c r="L9" s="41">
        <f t="shared" si="6"/>
        <v>0</v>
      </c>
      <c r="N9" s="433">
        <f t="shared" si="7"/>
        <v>0</v>
      </c>
      <c r="O9" s="40">
        <f t="shared" si="8"/>
        <v>0</v>
      </c>
      <c r="P9" s="40">
        <f t="shared" si="9"/>
        <v>0</v>
      </c>
      <c r="Q9" s="41">
        <f t="shared" si="10"/>
        <v>0</v>
      </c>
      <c r="S9" s="235">
        <f>F9-'Summary of Costs'!D9</f>
        <v>-124476703.21709234</v>
      </c>
    </row>
    <row r="10" spans="1:19" x14ac:dyDescent="0.25">
      <c r="A10" s="427">
        <v>2021</v>
      </c>
      <c r="B10" s="40">
        <f>'State of Good Repair'!E10</f>
        <v>0</v>
      </c>
      <c r="C10" s="40">
        <f>'Economic Competitiveness'!D10+'Economic Competitiveness'!G10</f>
        <v>0</v>
      </c>
      <c r="D10" s="40">
        <f>Environmental!I95+Environmental!J95+Environmental!K95+Environmental!L95</f>
        <v>0</v>
      </c>
      <c r="E10" s="40">
        <f>' Safety'!Q10</f>
        <v>0</v>
      </c>
      <c r="F10" s="40">
        <f t="shared" si="3"/>
        <v>0</v>
      </c>
      <c r="G10" s="40">
        <f t="shared" si="11"/>
        <v>0</v>
      </c>
      <c r="H10" s="40">
        <f>Environmental!H95</f>
        <v>0</v>
      </c>
      <c r="I10" s="40">
        <f t="shared" si="4"/>
        <v>0</v>
      </c>
      <c r="J10" s="40">
        <f t="shared" si="12"/>
        <v>0</v>
      </c>
      <c r="K10" s="40">
        <f t="shared" si="5"/>
        <v>0</v>
      </c>
      <c r="L10" s="41">
        <f t="shared" si="6"/>
        <v>0</v>
      </c>
      <c r="N10" s="433">
        <f t="shared" si="7"/>
        <v>0</v>
      </c>
      <c r="O10" s="40">
        <f t="shared" si="8"/>
        <v>0</v>
      </c>
      <c r="P10" s="40">
        <f t="shared" si="9"/>
        <v>0</v>
      </c>
      <c r="Q10" s="41">
        <f t="shared" si="10"/>
        <v>0</v>
      </c>
      <c r="S10" s="235">
        <f>F10-'Summary of Costs'!D10</f>
        <v>-103966413.67878193</v>
      </c>
    </row>
    <row r="11" spans="1:19" x14ac:dyDescent="0.25">
      <c r="A11" s="427">
        <v>2022</v>
      </c>
      <c r="B11" s="40">
        <f>'State of Good Repair'!E11</f>
        <v>1508200.2697164342</v>
      </c>
      <c r="C11" s="40">
        <f>'Economic Competitiveness'!D11+'Economic Competitiveness'!G11</f>
        <v>6910596.1479468308</v>
      </c>
      <c r="D11" s="40">
        <f>Environmental!I96+Environmental!J96+Environmental!K96+Environmental!L96</f>
        <v>2029303.7516612562</v>
      </c>
      <c r="E11" s="40">
        <f>' Safety'!Q11</f>
        <v>1425673.120707656</v>
      </c>
      <c r="F11" s="40">
        <f t="shared" si="3"/>
        <v>11873773.290032176</v>
      </c>
      <c r="G11" s="40">
        <f>$F11/(1+3%)^($A11-2018)</f>
        <v>10549693.778080845</v>
      </c>
      <c r="H11" s="40">
        <f>Environmental!H96</f>
        <v>0</v>
      </c>
      <c r="I11" s="40">
        <f t="shared" si="4"/>
        <v>10549693.778080845</v>
      </c>
      <c r="J11" s="40">
        <f>$F11/(1+7%)^($A11-2018)</f>
        <v>9058444.7919033375</v>
      </c>
      <c r="K11" s="40">
        <f t="shared" si="5"/>
        <v>0</v>
      </c>
      <c r="L11" s="41">
        <f>J11+K11</f>
        <v>9058444.7919033375</v>
      </c>
      <c r="N11" s="433">
        <f t="shared" si="7"/>
        <v>1150598.7645754537</v>
      </c>
      <c r="O11" s="40">
        <f t="shared" si="8"/>
        <v>5272060.7136627082</v>
      </c>
      <c r="P11" s="40">
        <f t="shared" si="9"/>
        <v>1548146.1159324525</v>
      </c>
      <c r="Q11" s="41">
        <f t="shared" si="10"/>
        <v>1087639.1977327242</v>
      </c>
      <c r="S11" s="235">
        <f>F11-'Summary of Costs'!D11</f>
        <v>-62656911.780668482</v>
      </c>
    </row>
    <row r="12" spans="1:19" x14ac:dyDescent="0.25">
      <c r="A12" s="427">
        <v>2023</v>
      </c>
      <c r="B12" s="40">
        <f>'State of Good Repair'!E12</f>
        <v>3016400.5394328684</v>
      </c>
      <c r="C12" s="40">
        <f>'Economic Competitiveness'!D12+'Economic Competitiveness'!G12</f>
        <v>13821192.295893662</v>
      </c>
      <c r="D12" s="40">
        <f>Environmental!I97+Environmental!J97+Environmental!K97+Environmental!L97</f>
        <v>4050512.2669786545</v>
      </c>
      <c r="E12" s="40">
        <f>' Safety'!Q12</f>
        <v>2851346.241415312</v>
      </c>
      <c r="F12" s="40">
        <f t="shared" si="3"/>
        <v>23739451.343720496</v>
      </c>
      <c r="G12" s="40">
        <f t="shared" si="11"/>
        <v>20477859.265553746</v>
      </c>
      <c r="H12" s="40">
        <f>Environmental!H97</f>
        <v>0</v>
      </c>
      <c r="I12" s="40">
        <f t="shared" si="4"/>
        <v>20477859.265553746</v>
      </c>
      <c r="J12" s="40">
        <f t="shared" ref="J12:J40" si="13">$F12/(1+7%)^($A12-2018)</f>
        <v>16925900.716597714</v>
      </c>
      <c r="K12" s="40">
        <f t="shared" si="5"/>
        <v>0</v>
      </c>
      <c r="L12" s="41">
        <f t="shared" si="6"/>
        <v>16925900.716597714</v>
      </c>
      <c r="N12" s="433">
        <f t="shared" si="7"/>
        <v>2150651.8964027171</v>
      </c>
      <c r="O12" s="40">
        <f t="shared" si="8"/>
        <v>9854319.0909583326</v>
      </c>
      <c r="P12" s="40">
        <f t="shared" si="9"/>
        <v>2887959.2661848436</v>
      </c>
      <c r="Q12" s="41">
        <f t="shared" si="10"/>
        <v>2032970.4630518209</v>
      </c>
      <c r="S12" s="235">
        <f>F12-'Summary of Costs'!D12</f>
        <v>-10914739.252520442</v>
      </c>
    </row>
    <row r="13" spans="1:19" x14ac:dyDescent="0.25">
      <c r="A13" s="427">
        <v>2024</v>
      </c>
      <c r="B13" s="40">
        <f>'State of Good Repair'!E13</f>
        <v>4524600.8091493016</v>
      </c>
      <c r="C13" s="40">
        <f>'Economic Competitiveness'!D13+'Economic Competitiveness'!G13</f>
        <v>20731788.443840493</v>
      </c>
      <c r="D13" s="40">
        <f>Environmental!I98+Environmental!J98+Environmental!K98+Environmental!L98</f>
        <v>6064904.1343621453</v>
      </c>
      <c r="E13" s="40">
        <f>' Safety'!Q13</f>
        <v>4277019.3621229678</v>
      </c>
      <c r="F13" s="40">
        <f t="shared" si="3"/>
        <v>35598312.749474913</v>
      </c>
      <c r="G13" s="40">
        <f t="shared" si="11"/>
        <v>29813026.492186256</v>
      </c>
      <c r="H13" s="40">
        <f>Environmental!H98</f>
        <v>0</v>
      </c>
      <c r="I13" s="40">
        <f t="shared" si="4"/>
        <v>29813026.492186256</v>
      </c>
      <c r="J13" s="40">
        <f t="shared" si="13"/>
        <v>23720658.881600823</v>
      </c>
      <c r="K13" s="40">
        <f t="shared" si="5"/>
        <v>0</v>
      </c>
      <c r="L13" s="41">
        <f t="shared" si="6"/>
        <v>23720658.881600823</v>
      </c>
      <c r="N13" s="433">
        <f t="shared" si="7"/>
        <v>3014932.5650505377</v>
      </c>
      <c r="O13" s="40">
        <f t="shared" si="8"/>
        <v>13814466.015362149</v>
      </c>
      <c r="P13" s="40">
        <f t="shared" si="9"/>
        <v>4041301.7081248327</v>
      </c>
      <c r="Q13" s="41">
        <f t="shared" si="10"/>
        <v>2849958.5930633005</v>
      </c>
      <c r="S13" s="235">
        <f>F13-'Summary of Costs'!D13</f>
        <v>32763832.492133778</v>
      </c>
    </row>
    <row r="14" spans="1:19" x14ac:dyDescent="0.25">
      <c r="A14" s="427">
        <v>2025</v>
      </c>
      <c r="B14" s="40">
        <f>'State of Good Repair'!E14</f>
        <v>6032801.0788657367</v>
      </c>
      <c r="C14" s="40">
        <f>'Economic Competitiveness'!D14+'Economic Competitiveness'!G14</f>
        <v>27642384.591787323</v>
      </c>
      <c r="D14" s="40">
        <f>Environmental!I99+Environmental!J99+Environmental!K99+Environmental!L99</f>
        <v>8073577.8960947962</v>
      </c>
      <c r="E14" s="40">
        <f>' Safety'!Q14</f>
        <v>5702692.4828306241</v>
      </c>
      <c r="F14" s="40">
        <f t="shared" si="3"/>
        <v>47451456.04957848</v>
      </c>
      <c r="G14" s="40">
        <f t="shared" si="11"/>
        <v>38582376.114794493</v>
      </c>
      <c r="H14" s="40">
        <f>Environmental!H99</f>
        <v>0</v>
      </c>
      <c r="I14" s="40">
        <f t="shared" si="4"/>
        <v>38582376.114794493</v>
      </c>
      <c r="J14" s="40">
        <f t="shared" si="13"/>
        <v>29550382.00692302</v>
      </c>
      <c r="K14" s="40">
        <f t="shared" si="5"/>
        <v>0</v>
      </c>
      <c r="L14" s="41">
        <f t="shared" si="6"/>
        <v>29550382.00692302</v>
      </c>
      <c r="N14" s="433">
        <f t="shared" si="7"/>
        <v>3756925.3147047204</v>
      </c>
      <c r="O14" s="40">
        <f t="shared" si="8"/>
        <v>17214287.869610153</v>
      </c>
      <c r="P14" s="40">
        <f t="shared" si="9"/>
        <v>5027818.5508781746</v>
      </c>
      <c r="Q14" s="41">
        <f t="shared" si="10"/>
        <v>3551350.271729969</v>
      </c>
      <c r="S14" s="235">
        <f>F14-'Summary of Costs'!D14</f>
        <v>44616975.792237349</v>
      </c>
    </row>
    <row r="15" spans="1:19" x14ac:dyDescent="0.25">
      <c r="A15" s="427">
        <v>2026</v>
      </c>
      <c r="B15" s="40">
        <f>'State of Good Repair'!E15</f>
        <v>7541001.3485821672</v>
      </c>
      <c r="C15" s="40">
        <f>'Economic Competitiveness'!D15+'Economic Competitiveness'!G15</f>
        <v>34552980.739734143</v>
      </c>
      <c r="D15" s="40">
        <f>Environmental!I100+Environmental!J100+Environmental!K100+Environmental!L100</f>
        <v>10077475.83745211</v>
      </c>
      <c r="E15" s="40">
        <f>' Safety'!Q15</f>
        <v>7128365.6035382794</v>
      </c>
      <c r="F15" s="40">
        <f t="shared" si="3"/>
        <v>59299823.529306702</v>
      </c>
      <c r="G15" s="40">
        <f t="shared" si="11"/>
        <v>46811828.287221514</v>
      </c>
      <c r="H15" s="40">
        <f>Environmental!H100</f>
        <v>0</v>
      </c>
      <c r="I15" s="40">
        <f t="shared" si="4"/>
        <v>46811828.287221514</v>
      </c>
      <c r="J15" s="40">
        <f t="shared" si="13"/>
        <v>34513037.193156593</v>
      </c>
      <c r="K15" s="40">
        <f t="shared" si="5"/>
        <v>0</v>
      </c>
      <c r="L15" s="41">
        <f t="shared" si="6"/>
        <v>34513037.193156593</v>
      </c>
      <c r="N15" s="433">
        <f t="shared" si="7"/>
        <v>4388931.4424120542</v>
      </c>
      <c r="O15" s="40">
        <f t="shared" si="8"/>
        <v>20110149.380385689</v>
      </c>
      <c r="P15" s="40">
        <f t="shared" si="9"/>
        <v>5865182.6884313133</v>
      </c>
      <c r="Q15" s="41">
        <f t="shared" si="10"/>
        <v>4148773.6819275338</v>
      </c>
      <c r="S15" s="235">
        <f>F15-'Summary of Costs'!D15</f>
        <v>56465343.271965571</v>
      </c>
    </row>
    <row r="16" spans="1:19" x14ac:dyDescent="0.25">
      <c r="A16" s="427">
        <v>2027</v>
      </c>
      <c r="B16" s="40">
        <f>'State of Good Repair'!E16</f>
        <v>9049201.6182986032</v>
      </c>
      <c r="C16" s="40">
        <f>'Economic Competitiveness'!D16+'Economic Competitiveness'!G16</f>
        <v>41463576.887680985</v>
      </c>
      <c r="D16" s="40">
        <f>Environmental!I101+Environmental!J101+Environmental!K101+Environmental!L101</f>
        <v>12077404.75644769</v>
      </c>
      <c r="E16" s="40">
        <f>' Safety'!Q16</f>
        <v>8554038.7242459357</v>
      </c>
      <c r="F16" s="40">
        <f t="shared" si="3"/>
        <v>71144221.986673206</v>
      </c>
      <c r="G16" s="40">
        <f t="shared" si="11"/>
        <v>54526122.140155695</v>
      </c>
      <c r="H16" s="40">
        <f>Environmental!H101</f>
        <v>0</v>
      </c>
      <c r="I16" s="40">
        <f t="shared" si="4"/>
        <v>54526122.140155695</v>
      </c>
      <c r="J16" s="40">
        <f t="shared" si="13"/>
        <v>38697742.928448588</v>
      </c>
      <c r="K16" s="40">
        <f t="shared" si="5"/>
        <v>0</v>
      </c>
      <c r="L16" s="41">
        <f t="shared" si="6"/>
        <v>38697742.928448588</v>
      </c>
      <c r="N16" s="433">
        <f t="shared" si="7"/>
        <v>4922166.1036396883</v>
      </c>
      <c r="O16" s="40">
        <f t="shared" si="8"/>
        <v>22553438.557441898</v>
      </c>
      <c r="P16" s="40">
        <f t="shared" si="9"/>
        <v>6569307.9698781827</v>
      </c>
      <c r="Q16" s="41">
        <f t="shared" si="10"/>
        <v>4652830.2974888226</v>
      </c>
      <c r="S16" s="235">
        <f>F16-'Summary of Costs'!D16</f>
        <v>68309741.729332075</v>
      </c>
    </row>
    <row r="17" spans="1:19" x14ac:dyDescent="0.25">
      <c r="A17" s="427">
        <v>2028</v>
      </c>
      <c r="B17" s="40">
        <f>'State of Good Repair'!E17</f>
        <v>12065602.157731473</v>
      </c>
      <c r="C17" s="40">
        <f>'Economic Competitiveness'!D17+'Economic Competitiveness'!G17</f>
        <v>55284769.183574647</v>
      </c>
      <c r="D17" s="40">
        <f>Environmental!I102+Environmental!J102+Environmental!K102+Environmental!L102</f>
        <v>16084633.242298909</v>
      </c>
      <c r="E17" s="40">
        <f>' Safety'!Q17</f>
        <v>11405384.965661248</v>
      </c>
      <c r="F17" s="40">
        <f t="shared" si="3"/>
        <v>94840389.549266264</v>
      </c>
      <c r="G17" s="40">
        <f t="shared" si="11"/>
        <v>70570156.750044003</v>
      </c>
      <c r="H17" s="40">
        <f>Environmental!H102</f>
        <v>0</v>
      </c>
      <c r="I17" s="40">
        <f t="shared" si="4"/>
        <v>70570156.750044003</v>
      </c>
      <c r="J17" s="40">
        <f t="shared" si="13"/>
        <v>48212044.893150389</v>
      </c>
      <c r="K17" s="40">
        <f t="shared" si="5"/>
        <v>0</v>
      </c>
      <c r="L17" s="41">
        <f t="shared" si="6"/>
        <v>48212044.893150389</v>
      </c>
      <c r="N17" s="433">
        <f t="shared" si="7"/>
        <v>6133540.3160619186</v>
      </c>
      <c r="O17" s="40">
        <f t="shared" si="8"/>
        <v>28103973.280301433</v>
      </c>
      <c r="P17" s="40">
        <f t="shared" si="9"/>
        <v>8176611.9229692006</v>
      </c>
      <c r="Q17" s="41">
        <f t="shared" si="10"/>
        <v>5797919.373817848</v>
      </c>
      <c r="S17" s="235">
        <f>F17-'Summary of Costs'!D17</f>
        <v>92005909.291925132</v>
      </c>
    </row>
    <row r="18" spans="1:19" x14ac:dyDescent="0.25">
      <c r="A18" s="427">
        <v>2029</v>
      </c>
      <c r="B18" s="40">
        <f>'State of Good Repair'!E18</f>
        <v>15082002.697164334</v>
      </c>
      <c r="C18" s="40">
        <f>'Economic Competitiveness'!D18+'Economic Competitiveness'!G18</f>
        <v>69105961.479468286</v>
      </c>
      <c r="D18" s="40">
        <f>Environmental!I103+Environmental!J103+Environmental!K103+Environmental!L103</f>
        <v>20085014.629110493</v>
      </c>
      <c r="E18" s="40">
        <f>' Safety'!Q18</f>
        <v>14256731.207076559</v>
      </c>
      <c r="F18" s="40">
        <f t="shared" si="3"/>
        <v>118529710.01281966</v>
      </c>
      <c r="G18" s="40">
        <f t="shared" si="11"/>
        <v>85628384.422342286</v>
      </c>
      <c r="H18" s="40">
        <f>Environmental!H103</f>
        <v>0</v>
      </c>
      <c r="I18" s="40">
        <f t="shared" si="4"/>
        <v>85628384.422342286</v>
      </c>
      <c r="J18" s="40">
        <f t="shared" si="13"/>
        <v>56312611.385000221</v>
      </c>
      <c r="K18" s="40">
        <f t="shared" si="5"/>
        <v>0</v>
      </c>
      <c r="L18" s="41">
        <f t="shared" si="6"/>
        <v>56312611.385000221</v>
      </c>
      <c r="N18" s="433">
        <f t="shared" si="7"/>
        <v>7165350.836520928</v>
      </c>
      <c r="O18" s="40">
        <f t="shared" si="8"/>
        <v>32831744.486333434</v>
      </c>
      <c r="P18" s="40">
        <f t="shared" si="9"/>
        <v>9542245.7656296901</v>
      </c>
      <c r="Q18" s="41">
        <f t="shared" si="10"/>
        <v>6773270.2965161763</v>
      </c>
      <c r="S18" s="235">
        <f>F18-'Summary of Costs'!D18</f>
        <v>115695229.75547853</v>
      </c>
    </row>
    <row r="19" spans="1:19" x14ac:dyDescent="0.25">
      <c r="A19" s="427">
        <v>2030</v>
      </c>
      <c r="B19" s="40">
        <f>'State of Good Repair'!E19</f>
        <v>18098403.236597206</v>
      </c>
      <c r="C19" s="40">
        <f>'Economic Competitiveness'!D19+'Economic Competitiveness'!G19</f>
        <v>82927153.77536197</v>
      </c>
      <c r="D19" s="40">
        <f>Environmental!I104+Environmental!J104+Environmental!K104+Environmental!L104</f>
        <v>24079703.590670552</v>
      </c>
      <c r="E19" s="40">
        <f>' Safety'!Q19</f>
        <v>17108077.448491871</v>
      </c>
      <c r="F19" s="40">
        <f t="shared" si="3"/>
        <v>142213338.05112159</v>
      </c>
      <c r="G19" s="40">
        <f t="shared" si="11"/>
        <v>99745574.004138455</v>
      </c>
      <c r="H19" s="40">
        <f>Environmental!H104</f>
        <v>0</v>
      </c>
      <c r="I19" s="40">
        <f t="shared" si="4"/>
        <v>99745574.004138455</v>
      </c>
      <c r="J19" s="40">
        <f t="shared" si="13"/>
        <v>63144422.85824351</v>
      </c>
      <c r="K19" s="40">
        <f t="shared" si="5"/>
        <v>0</v>
      </c>
      <c r="L19" s="41">
        <f t="shared" si="6"/>
        <v>63144422.85824351</v>
      </c>
      <c r="N19" s="433">
        <f t="shared" si="7"/>
        <v>8035907.4802103899</v>
      </c>
      <c r="O19" s="40">
        <f t="shared" si="8"/>
        <v>36820648.022056207</v>
      </c>
      <c r="P19" s="40">
        <f t="shared" si="9"/>
        <v>10691676.369229801</v>
      </c>
      <c r="Q19" s="41">
        <f t="shared" si="10"/>
        <v>7596190.9867471149</v>
      </c>
      <c r="S19" s="235">
        <f>F19-'Summary of Costs'!D19</f>
        <v>139378857.79378045</v>
      </c>
    </row>
    <row r="20" spans="1:19" x14ac:dyDescent="0.25">
      <c r="A20" s="427">
        <v>2031</v>
      </c>
      <c r="B20" s="40">
        <f>'State of Good Repair'!E20</f>
        <v>22019723.937859934</v>
      </c>
      <c r="C20" s="40">
        <f>'Economic Competitiveness'!D20+'Economic Competitiveness'!G20</f>
        <v>100894703.7600237</v>
      </c>
      <c r="D20" s="40">
        <f>Environmental!I105+Environmental!J105+Environmental!K105+Environmental!L105</f>
        <v>29272673.475150909</v>
      </c>
      <c r="E20" s="40">
        <f>' Safety'!Q20</f>
        <v>20814827.562331777</v>
      </c>
      <c r="F20" s="40">
        <f t="shared" si="3"/>
        <v>173001928.73536631</v>
      </c>
      <c r="G20" s="40">
        <f t="shared" si="11"/>
        <v>117805895.19375196</v>
      </c>
      <c r="H20" s="40">
        <f>Environmental!H105</f>
        <v>0</v>
      </c>
      <c r="I20" s="40">
        <f t="shared" si="4"/>
        <v>117805895.19375196</v>
      </c>
      <c r="J20" s="40">
        <f t="shared" si="13"/>
        <v>71789649.84132342</v>
      </c>
      <c r="K20" s="40">
        <f t="shared" si="5"/>
        <v>0</v>
      </c>
      <c r="L20" s="41">
        <f t="shared" si="6"/>
        <v>71789649.84132342</v>
      </c>
      <c r="N20" s="433">
        <f t="shared" si="7"/>
        <v>9137402.5865320619</v>
      </c>
      <c r="O20" s="40">
        <f t="shared" si="8"/>
        <v>41867715.040655792</v>
      </c>
      <c r="P20" s="40">
        <f t="shared" si="9"/>
        <v>12147118.786837436</v>
      </c>
      <c r="Q20" s="41">
        <f t="shared" si="10"/>
        <v>8637413.4272981212</v>
      </c>
      <c r="S20" s="235">
        <f>F20-'Summary of Costs'!D20</f>
        <v>170167448.47802517</v>
      </c>
    </row>
    <row r="21" spans="1:19" x14ac:dyDescent="0.25">
      <c r="A21" s="427">
        <v>2032</v>
      </c>
      <c r="B21" s="40">
        <f>'State of Good Repair'!E21</f>
        <v>22019723.937859934</v>
      </c>
      <c r="C21" s="40">
        <f>'Economic Competitiveness'!D21+'Economic Competitiveness'!G21</f>
        <v>100894703.7600237</v>
      </c>
      <c r="D21" s="40">
        <f>Environmental!I106+Environmental!J106+Environmental!K106+Environmental!L106</f>
        <v>29250922.978985641</v>
      </c>
      <c r="E21" s="40">
        <f>' Safety'!Q21</f>
        <v>20814827.562331777</v>
      </c>
      <c r="F21" s="40">
        <f t="shared" si="3"/>
        <v>172980178.23920104</v>
      </c>
      <c r="G21" s="40">
        <f t="shared" si="11"/>
        <v>114360275.88761427</v>
      </c>
      <c r="H21" s="40">
        <f>Environmental!H106</f>
        <v>0</v>
      </c>
      <c r="I21" s="40">
        <f t="shared" si="4"/>
        <v>114360275.88761427</v>
      </c>
      <c r="J21" s="40">
        <f t="shared" si="13"/>
        <v>67084695.475412048</v>
      </c>
      <c r="K21" s="40">
        <f t="shared" si="5"/>
        <v>0</v>
      </c>
      <c r="L21" s="41">
        <f t="shared" si="6"/>
        <v>67084695.475412048</v>
      </c>
      <c r="N21" s="433">
        <f t="shared" si="7"/>
        <v>8539628.5855439845</v>
      </c>
      <c r="O21" s="40">
        <f t="shared" si="8"/>
        <v>39128705.645472705</v>
      </c>
      <c r="P21" s="40">
        <f t="shared" si="9"/>
        <v>11344012.246920481</v>
      </c>
      <c r="Q21" s="41">
        <f t="shared" si="10"/>
        <v>8072348.99747488</v>
      </c>
      <c r="S21" s="235">
        <f>F21-'Summary of Costs'!D21</f>
        <v>170145697.98185989</v>
      </c>
    </row>
    <row r="22" spans="1:19" x14ac:dyDescent="0.25">
      <c r="A22" s="427">
        <v>2033</v>
      </c>
      <c r="B22" s="40">
        <f>'State of Good Repair'!E22</f>
        <v>22019723.937859934</v>
      </c>
      <c r="C22" s="40">
        <f>'Economic Competitiveness'!D22+'Economic Competitiveness'!G22</f>
        <v>100894703.7600237</v>
      </c>
      <c r="D22" s="40">
        <f>Environmental!I107+Environmental!J107+Environmental!K107+Environmental!L107</f>
        <v>29231452.282268509</v>
      </c>
      <c r="E22" s="40">
        <f>' Safety'!Q22</f>
        <v>20814827.562331777</v>
      </c>
      <c r="F22" s="40">
        <f t="shared" si="3"/>
        <v>172960707.5424839</v>
      </c>
      <c r="G22" s="40">
        <f t="shared" si="11"/>
        <v>111016896.56633288</v>
      </c>
      <c r="H22" s="40">
        <f>Environmental!H107</f>
        <v>0</v>
      </c>
      <c r="I22" s="40">
        <f t="shared" si="4"/>
        <v>111016896.56633288</v>
      </c>
      <c r="J22" s="40">
        <f t="shared" si="13"/>
        <v>62688920.003299542</v>
      </c>
      <c r="K22" s="40">
        <f t="shared" si="5"/>
        <v>0</v>
      </c>
      <c r="L22" s="41">
        <f t="shared" si="6"/>
        <v>62688920.003299542</v>
      </c>
      <c r="N22" s="433">
        <f t="shared" si="7"/>
        <v>7980961.2949009193</v>
      </c>
      <c r="O22" s="40">
        <f t="shared" si="8"/>
        <v>36568883.780815609</v>
      </c>
      <c r="P22" s="40">
        <f t="shared" si="9"/>
        <v>10594823.528073791</v>
      </c>
      <c r="Q22" s="41">
        <f t="shared" si="10"/>
        <v>7544251.3995092325</v>
      </c>
      <c r="S22" s="235">
        <f>F22-'Summary of Costs'!D22</f>
        <v>170126227.28514275</v>
      </c>
    </row>
    <row r="23" spans="1:19" x14ac:dyDescent="0.25">
      <c r="A23" s="427">
        <v>2034</v>
      </c>
      <c r="B23" s="40">
        <f>'State of Good Repair'!E23</f>
        <v>22019723.937859934</v>
      </c>
      <c r="C23" s="40">
        <f>'Economic Competitiveness'!D23+'Economic Competitiveness'!G23</f>
        <v>100894703.7600237</v>
      </c>
      <c r="D23" s="40">
        <f>Environmental!I108+Environmental!J108+Environmental!K108+Environmental!L108</f>
        <v>29214020.86322052</v>
      </c>
      <c r="E23" s="40">
        <f>' Safety'!Q23</f>
        <v>20814827.562331777</v>
      </c>
      <c r="F23" s="40">
        <f t="shared" si="3"/>
        <v>172943276.12343591</v>
      </c>
      <c r="G23" s="40">
        <f t="shared" si="11"/>
        <v>107772532.04054065</v>
      </c>
      <c r="H23" s="40">
        <f>Environmental!H108</f>
        <v>0</v>
      </c>
      <c r="I23" s="40">
        <f t="shared" si="4"/>
        <v>107772532.04054065</v>
      </c>
      <c r="J23" s="40">
        <f t="shared" si="13"/>
        <v>58581871.079298034</v>
      </c>
      <c r="K23" s="40">
        <f t="shared" si="5"/>
        <v>0</v>
      </c>
      <c r="L23" s="41">
        <f t="shared" si="6"/>
        <v>58581871.079298034</v>
      </c>
      <c r="N23" s="433">
        <f t="shared" si="7"/>
        <v>7458842.331683103</v>
      </c>
      <c r="O23" s="40">
        <f t="shared" si="8"/>
        <v>34176526.897958517</v>
      </c>
      <c r="P23" s="40">
        <f t="shared" si="9"/>
        <v>9895799.6071244217</v>
      </c>
      <c r="Q23" s="41">
        <f t="shared" si="10"/>
        <v>7050702.2425319944</v>
      </c>
      <c r="S23" s="235">
        <f>F23-'Summary of Costs'!D23</f>
        <v>170108795.86609477</v>
      </c>
    </row>
    <row r="24" spans="1:19" x14ac:dyDescent="0.25">
      <c r="A24" s="427">
        <v>2035</v>
      </c>
      <c r="B24" s="40">
        <f>'State of Good Repair'!E24</f>
        <v>22019723.937859934</v>
      </c>
      <c r="C24" s="40">
        <f>'Economic Competitiveness'!D24+'Economic Competitiveness'!G24</f>
        <v>100894703.7600237</v>
      </c>
      <c r="D24" s="40">
        <f>Environmental!I109+Environmental!J109+Environmental!K109+Environmental!L109</f>
        <v>29198413.606384739</v>
      </c>
      <c r="E24" s="40">
        <f>' Safety'!Q24</f>
        <v>20814827.562331777</v>
      </c>
      <c r="F24" s="40">
        <f t="shared" si="3"/>
        <v>172927668.86660013</v>
      </c>
      <c r="G24" s="40">
        <f t="shared" si="11"/>
        <v>104624083.60589191</v>
      </c>
      <c r="H24" s="40">
        <f>Environmental!H109</f>
        <v>0</v>
      </c>
      <c r="I24" s="40">
        <f t="shared" si="4"/>
        <v>104624083.60589191</v>
      </c>
      <c r="J24" s="40">
        <f t="shared" si="13"/>
        <v>54744471.36582341</v>
      </c>
      <c r="K24" s="40">
        <f t="shared" si="5"/>
        <v>0</v>
      </c>
      <c r="L24" s="41">
        <f t="shared" si="6"/>
        <v>54744471.36582341</v>
      </c>
      <c r="N24" s="433">
        <f t="shared" si="7"/>
        <v>6970880.6838159841</v>
      </c>
      <c r="O24" s="40">
        <f t="shared" si="8"/>
        <v>31940679.343886465</v>
      </c>
      <c r="P24" s="40">
        <f t="shared" si="9"/>
        <v>9243469.989960229</v>
      </c>
      <c r="Q24" s="41">
        <f t="shared" si="10"/>
        <v>6589441.3481607419</v>
      </c>
      <c r="S24" s="235">
        <f>F24-'Summary of Costs'!D24</f>
        <v>170093188.60925898</v>
      </c>
    </row>
    <row r="25" spans="1:19" x14ac:dyDescent="0.25">
      <c r="A25" s="427">
        <v>2036</v>
      </c>
      <c r="B25" s="40">
        <f>'State of Good Repair'!E25</f>
        <v>22019723.937859934</v>
      </c>
      <c r="C25" s="40">
        <f>'Economic Competitiveness'!D25+'Economic Competitiveness'!G25</f>
        <v>100894703.7600237</v>
      </c>
      <c r="D25" s="40">
        <f>Environmental!I110+Environmental!J110+Environmental!K110+Environmental!L110</f>
        <v>29184438.117155198</v>
      </c>
      <c r="E25" s="40">
        <f>' Safety'!Q25</f>
        <v>20814827.562331777</v>
      </c>
      <c r="F25" s="40">
        <f t="shared" si="3"/>
        <v>172913693.3773706</v>
      </c>
      <c r="G25" s="40">
        <f t="shared" si="11"/>
        <v>101568571.07288283</v>
      </c>
      <c r="H25" s="40">
        <f>Environmental!H110</f>
        <v>0</v>
      </c>
      <c r="I25" s="40">
        <f t="shared" si="4"/>
        <v>101568571.07288283</v>
      </c>
      <c r="J25" s="40">
        <f t="shared" si="13"/>
        <v>51158922.508260876</v>
      </c>
      <c r="K25" s="40">
        <f t="shared" si="5"/>
        <v>0</v>
      </c>
      <c r="L25" s="41">
        <f t="shared" si="6"/>
        <v>51158922.508260876</v>
      </c>
      <c r="N25" s="433">
        <f t="shared" si="7"/>
        <v>6514841.7605756857</v>
      </c>
      <c r="O25" s="40">
        <f t="shared" si="8"/>
        <v>29851102.1905481</v>
      </c>
      <c r="P25" s="40">
        <f t="shared" si="9"/>
        <v>8634622.156986868</v>
      </c>
      <c r="Q25" s="41">
        <f t="shared" si="10"/>
        <v>6158356.4001502264</v>
      </c>
      <c r="S25" s="235">
        <f>F25-'Summary of Costs'!D25</f>
        <v>170079213.12002945</v>
      </c>
    </row>
    <row r="26" spans="1:19" x14ac:dyDescent="0.25">
      <c r="A26" s="427">
        <v>2037</v>
      </c>
      <c r="B26" s="40">
        <f>'State of Good Repair'!E26</f>
        <v>22019723.937859934</v>
      </c>
      <c r="C26" s="40">
        <f>'Economic Competitiveness'!D26+'Economic Competitiveness'!G26</f>
        <v>100894703.7600237</v>
      </c>
      <c r="D26" s="40">
        <f>Environmental!I111+Environmental!J111+Environmental!K111+Environmental!L111</f>
        <v>29184438.117155198</v>
      </c>
      <c r="E26" s="40">
        <f>' Safety'!Q26</f>
        <v>20814827.562331777</v>
      </c>
      <c r="F26" s="40">
        <f t="shared" si="3"/>
        <v>172913693.3773706</v>
      </c>
      <c r="G26" s="40">
        <f t="shared" si="11"/>
        <v>98610263.177556142</v>
      </c>
      <c r="H26" s="40">
        <f>Environmental!H111</f>
        <v>0</v>
      </c>
      <c r="I26" s="40">
        <f t="shared" si="4"/>
        <v>98610263.177556142</v>
      </c>
      <c r="J26" s="40">
        <f t="shared" si="13"/>
        <v>47812077.110524178</v>
      </c>
      <c r="K26" s="40">
        <f t="shared" si="5"/>
        <v>0</v>
      </c>
      <c r="L26" s="41">
        <f t="shared" si="6"/>
        <v>47812077.110524178</v>
      </c>
      <c r="N26" s="433">
        <f t="shared" si="7"/>
        <v>6088637.1594165284</v>
      </c>
      <c r="O26" s="40">
        <f t="shared" si="8"/>
        <v>27898226.346306633</v>
      </c>
      <c r="P26" s="40">
        <f t="shared" si="9"/>
        <v>8069740.3336325865</v>
      </c>
      <c r="Q26" s="41">
        <f t="shared" si="10"/>
        <v>5755473.271168435</v>
      </c>
      <c r="S26" s="235">
        <f>F26-'Summary of Costs'!D26</f>
        <v>170079213.12002945</v>
      </c>
    </row>
    <row r="27" spans="1:19" x14ac:dyDescent="0.25">
      <c r="A27" s="427">
        <v>2038</v>
      </c>
      <c r="B27" s="40">
        <f>'State of Good Repair'!E27</f>
        <v>22019723.937859934</v>
      </c>
      <c r="C27" s="40">
        <f>'Economic Competitiveness'!D27+'Economic Competitiveness'!G27</f>
        <v>100894703.7600237</v>
      </c>
      <c r="D27" s="40">
        <f>Environmental!I112+Environmental!J112+Environmental!K112+Environmental!L112</f>
        <v>29184438.117155198</v>
      </c>
      <c r="E27" s="40">
        <f>' Safety'!Q27</f>
        <v>20814827.562331777</v>
      </c>
      <c r="F27" s="40">
        <f t="shared" si="3"/>
        <v>172913693.3773706</v>
      </c>
      <c r="G27" s="40">
        <f t="shared" si="11"/>
        <v>95738119.589860335</v>
      </c>
      <c r="H27" s="40">
        <f>Environmental!H112</f>
        <v>0</v>
      </c>
      <c r="I27" s="40">
        <f t="shared" si="4"/>
        <v>95738119.589860335</v>
      </c>
      <c r="J27" s="40">
        <f t="shared" si="13"/>
        <v>44684184.215443164</v>
      </c>
      <c r="K27" s="40">
        <f t="shared" si="5"/>
        <v>0</v>
      </c>
      <c r="L27" s="41">
        <f t="shared" si="6"/>
        <v>44684184.215443164</v>
      </c>
      <c r="N27" s="433">
        <f t="shared" si="7"/>
        <v>5690315.1022584382</v>
      </c>
      <c r="O27" s="40">
        <f t="shared" si="8"/>
        <v>26073108.734866012</v>
      </c>
      <c r="P27" s="40">
        <f t="shared" si="9"/>
        <v>7541813.395918306</v>
      </c>
      <c r="Q27" s="41">
        <f t="shared" si="10"/>
        <v>5378946.9824004071</v>
      </c>
      <c r="S27" s="235">
        <f>F27-'Summary of Costs'!D27</f>
        <v>170079213.12002945</v>
      </c>
    </row>
    <row r="28" spans="1:19" x14ac:dyDescent="0.25">
      <c r="A28" s="427">
        <v>2039</v>
      </c>
      <c r="B28" s="40">
        <f>'State of Good Repair'!E28</f>
        <v>22019723.937859934</v>
      </c>
      <c r="C28" s="40">
        <f>'Economic Competitiveness'!D28+'Economic Competitiveness'!G28</f>
        <v>100894703.7600237</v>
      </c>
      <c r="D28" s="40">
        <f>Environmental!I113+Environmental!J113+Environmental!K113+Environmental!L113</f>
        <v>29184438.117155198</v>
      </c>
      <c r="E28" s="40">
        <f>' Safety'!Q28</f>
        <v>20814827.562331777</v>
      </c>
      <c r="F28" s="40">
        <f t="shared" si="3"/>
        <v>172913693.3773706</v>
      </c>
      <c r="G28" s="40">
        <f t="shared" si="11"/>
        <v>92949630.669767335</v>
      </c>
      <c r="H28" s="40">
        <f>Environmental!H113</f>
        <v>0</v>
      </c>
      <c r="I28" s="40">
        <f t="shared" si="4"/>
        <v>92949630.669767335</v>
      </c>
      <c r="J28" s="40">
        <f t="shared" si="13"/>
        <v>41760919.827516973</v>
      </c>
      <c r="K28" s="40">
        <f t="shared" si="5"/>
        <v>0</v>
      </c>
      <c r="L28" s="41">
        <f t="shared" si="6"/>
        <v>41760919.827516973</v>
      </c>
      <c r="N28" s="433">
        <f t="shared" si="7"/>
        <v>5318051.4974377928</v>
      </c>
      <c r="O28" s="40">
        <f t="shared" si="8"/>
        <v>24367391.340996273</v>
      </c>
      <c r="P28" s="40">
        <f t="shared" si="9"/>
        <v>7048423.7345030895</v>
      </c>
      <c r="Q28" s="41">
        <f t="shared" si="10"/>
        <v>5027053.2545798197</v>
      </c>
      <c r="S28" s="235">
        <f>F28-'Summary of Costs'!D28</f>
        <v>170079213.12002945</v>
      </c>
    </row>
    <row r="29" spans="1:19" x14ac:dyDescent="0.25">
      <c r="A29" s="427">
        <v>2040</v>
      </c>
      <c r="B29" s="40">
        <f>'State of Good Repair'!E29</f>
        <v>22019723.937859934</v>
      </c>
      <c r="C29" s="40">
        <f>'Economic Competitiveness'!D29+'Economic Competitiveness'!G29</f>
        <v>100894703.7600237</v>
      </c>
      <c r="D29" s="40">
        <f>Environmental!I114+Environmental!J114+Environmental!K114+Environmental!L114</f>
        <v>29184438.117155198</v>
      </c>
      <c r="E29" s="40">
        <f>' Safety'!Q29</f>
        <v>20814827.562331777</v>
      </c>
      <c r="F29" s="40">
        <f t="shared" si="3"/>
        <v>172913693.3773706</v>
      </c>
      <c r="G29" s="40">
        <f t="shared" si="11"/>
        <v>90242359.873560503</v>
      </c>
      <c r="H29" s="40">
        <f>Environmental!H114</f>
        <v>0</v>
      </c>
      <c r="I29" s="40">
        <f t="shared" si="4"/>
        <v>90242359.873560503</v>
      </c>
      <c r="J29" s="40">
        <f t="shared" si="13"/>
        <v>39028897.035062589</v>
      </c>
      <c r="K29" s="40">
        <f t="shared" si="5"/>
        <v>0</v>
      </c>
      <c r="L29" s="41">
        <f t="shared" si="6"/>
        <v>39028897.035062589</v>
      </c>
      <c r="N29" s="433">
        <f t="shared" si="7"/>
        <v>4970141.5863904599</v>
      </c>
      <c r="O29" s="40">
        <f t="shared" si="8"/>
        <v>22773262.935510535</v>
      </c>
      <c r="P29" s="40">
        <f t="shared" si="9"/>
        <v>6587311.9014047561</v>
      </c>
      <c r="Q29" s="41">
        <f t="shared" si="10"/>
        <v>4698180.6117568407</v>
      </c>
      <c r="S29" s="235">
        <f>F29-'Summary of Costs'!D29</f>
        <v>170079213.12002945</v>
      </c>
    </row>
    <row r="30" spans="1:19" x14ac:dyDescent="0.25">
      <c r="A30" s="427">
        <v>2041</v>
      </c>
      <c r="B30" s="40">
        <f>'State of Good Repair'!E30</f>
        <v>22019723.937859934</v>
      </c>
      <c r="C30" s="40">
        <f>'Economic Competitiveness'!D30+'Economic Competitiveness'!G30</f>
        <v>100894703.7600237</v>
      </c>
      <c r="D30" s="40">
        <f>Environmental!I115+Environmental!J115+Environmental!K115+Environmental!L115</f>
        <v>29184438.117155198</v>
      </c>
      <c r="E30" s="40">
        <f>' Safety'!Q30</f>
        <v>20814827.562331777</v>
      </c>
      <c r="F30" s="40">
        <f t="shared" si="3"/>
        <v>172913693.3773706</v>
      </c>
      <c r="G30" s="40">
        <f t="shared" si="11"/>
        <v>87613941.624816015</v>
      </c>
      <c r="H30" s="40">
        <f>Environmental!H115</f>
        <v>0</v>
      </c>
      <c r="I30" s="40">
        <f t="shared" si="4"/>
        <v>87613941.624816015</v>
      </c>
      <c r="J30" s="40">
        <f t="shared" si="13"/>
        <v>36475604.705665968</v>
      </c>
      <c r="K30" s="40">
        <f t="shared" si="5"/>
        <v>0</v>
      </c>
      <c r="L30" s="41">
        <f t="shared" si="6"/>
        <v>36475604.705665968</v>
      </c>
      <c r="N30" s="433">
        <f t="shared" si="7"/>
        <v>4644992.1368135139</v>
      </c>
      <c r="O30" s="40">
        <f t="shared" si="8"/>
        <v>21283423.304215454</v>
      </c>
      <c r="P30" s="40">
        <f t="shared" si="9"/>
        <v>6156366.2629950996</v>
      </c>
      <c r="Q30" s="41">
        <f t="shared" si="10"/>
        <v>4390823.0016419068</v>
      </c>
      <c r="S30" s="235">
        <f>F30-'Summary of Costs'!D30</f>
        <v>170079213.12002945</v>
      </c>
    </row>
    <row r="31" spans="1:19" x14ac:dyDescent="0.25">
      <c r="A31" s="427">
        <v>2042</v>
      </c>
      <c r="B31" s="40">
        <f>'State of Good Repair'!E31</f>
        <v>22019723.937859934</v>
      </c>
      <c r="C31" s="40">
        <f>'Economic Competitiveness'!D31+'Economic Competitiveness'!G31</f>
        <v>100894703.7600237</v>
      </c>
      <c r="D31" s="40">
        <f>Environmental!I116+Environmental!J116+Environmental!K116+Environmental!L116</f>
        <v>29184438.117155198</v>
      </c>
      <c r="E31" s="40">
        <f>' Safety'!Q31</f>
        <v>20814827.562331777</v>
      </c>
      <c r="F31" s="40">
        <f t="shared" si="3"/>
        <v>172913693.3773706</v>
      </c>
      <c r="G31" s="40">
        <f t="shared" si="11"/>
        <v>85062079.247394204</v>
      </c>
      <c r="H31" s="40">
        <f>Environmental!H116</f>
        <v>0</v>
      </c>
      <c r="I31" s="40">
        <f t="shared" si="4"/>
        <v>85062079.247394204</v>
      </c>
      <c r="J31" s="40">
        <f t="shared" si="13"/>
        <v>34089350.192211188</v>
      </c>
      <c r="K31" s="40">
        <f t="shared" si="5"/>
        <v>0</v>
      </c>
      <c r="L31" s="41">
        <f t="shared" si="6"/>
        <v>34089350.192211188</v>
      </c>
      <c r="N31" s="433">
        <f t="shared" si="7"/>
        <v>4341114.1465546861</v>
      </c>
      <c r="O31" s="40">
        <f t="shared" si="8"/>
        <v>19891049.817023788</v>
      </c>
      <c r="P31" s="40">
        <f t="shared" si="9"/>
        <v>5753613.3299019616</v>
      </c>
      <c r="Q31" s="41">
        <f t="shared" si="10"/>
        <v>4103572.8987307544</v>
      </c>
      <c r="S31" s="235">
        <f>F31-'Summary of Costs'!D31</f>
        <v>170079213.12002945</v>
      </c>
    </row>
    <row r="32" spans="1:19" x14ac:dyDescent="0.25">
      <c r="A32" s="427">
        <v>2043</v>
      </c>
      <c r="B32" s="40">
        <f>'State of Good Repair'!E32</f>
        <v>22019723.937859934</v>
      </c>
      <c r="C32" s="40">
        <f>'Economic Competitiveness'!D32+'Economic Competitiveness'!G32</f>
        <v>100894703.7600237</v>
      </c>
      <c r="D32" s="40">
        <f>Environmental!I117+Environmental!J117+Environmental!K117+Environmental!L117</f>
        <v>29184438.117155198</v>
      </c>
      <c r="E32" s="40">
        <f>' Safety'!Q32</f>
        <v>20814827.562331777</v>
      </c>
      <c r="F32" s="40">
        <f t="shared" si="3"/>
        <v>172913693.3773706</v>
      </c>
      <c r="G32" s="40">
        <f t="shared" si="11"/>
        <v>82584542.958635151</v>
      </c>
      <c r="H32" s="40">
        <f>Environmental!H117</f>
        <v>0</v>
      </c>
      <c r="I32" s="40">
        <f t="shared" si="4"/>
        <v>82584542.958635151</v>
      </c>
      <c r="J32" s="40">
        <f t="shared" si="13"/>
        <v>31859205.787113257</v>
      </c>
      <c r="K32" s="40">
        <f t="shared" si="5"/>
        <v>0</v>
      </c>
      <c r="L32" s="41">
        <f t="shared" si="6"/>
        <v>31859205.787113257</v>
      </c>
      <c r="N32" s="433">
        <f t="shared" si="7"/>
        <v>4057116.0248174635</v>
      </c>
      <c r="O32" s="40">
        <f t="shared" si="8"/>
        <v>18589766.184134379</v>
      </c>
      <c r="P32" s="40">
        <f t="shared" si="9"/>
        <v>5377208.7195345433</v>
      </c>
      <c r="Q32" s="41">
        <f t="shared" si="10"/>
        <v>3835114.8586268728</v>
      </c>
      <c r="S32" s="235">
        <f>F32-'Summary of Costs'!D32</f>
        <v>170079213.12002945</v>
      </c>
    </row>
    <row r="33" spans="1:20" x14ac:dyDescent="0.25">
      <c r="A33" s="427">
        <v>2044</v>
      </c>
      <c r="B33" s="40">
        <f>'State of Good Repair'!E33</f>
        <v>22019723.937859934</v>
      </c>
      <c r="C33" s="40">
        <f>'Economic Competitiveness'!D33+'Economic Competitiveness'!G33</f>
        <v>100894703.7600237</v>
      </c>
      <c r="D33" s="40">
        <f>Environmental!I118+Environmental!J118+Environmental!K118+Environmental!L118</f>
        <v>29184438.117155198</v>
      </c>
      <c r="E33" s="40">
        <f>' Safety'!Q33</f>
        <v>20814827.562331777</v>
      </c>
      <c r="F33" s="40">
        <f t="shared" si="3"/>
        <v>172913693.3773706</v>
      </c>
      <c r="G33" s="40">
        <f t="shared" si="11"/>
        <v>80179167.921004996</v>
      </c>
      <c r="H33" s="40">
        <f>Environmental!H118</f>
        <v>0</v>
      </c>
      <c r="I33" s="40">
        <f t="shared" si="4"/>
        <v>80179167.921004996</v>
      </c>
      <c r="J33" s="40">
        <f t="shared" si="13"/>
        <v>29774958.679545101</v>
      </c>
      <c r="K33" s="40">
        <f t="shared" si="5"/>
        <v>0</v>
      </c>
      <c r="L33" s="41">
        <f t="shared" si="6"/>
        <v>29774958.679545101</v>
      </c>
      <c r="N33" s="433">
        <f t="shared" si="7"/>
        <v>3791697.2194555737</v>
      </c>
      <c r="O33" s="40">
        <f t="shared" si="8"/>
        <v>17373613.256200355</v>
      </c>
      <c r="P33" s="40">
        <f t="shared" si="9"/>
        <v>5025428.7098453678</v>
      </c>
      <c r="Q33" s="41">
        <f t="shared" si="10"/>
        <v>3584219.4940438066</v>
      </c>
      <c r="S33" s="235">
        <f>F33-'Summary of Costs'!D33</f>
        <v>170079213.12002945</v>
      </c>
    </row>
    <row r="34" spans="1:20" x14ac:dyDescent="0.25">
      <c r="A34" s="427">
        <v>2045</v>
      </c>
      <c r="B34" s="40">
        <f>'State of Good Repair'!E34</f>
        <v>22019723.937859934</v>
      </c>
      <c r="C34" s="40">
        <f>'Economic Competitiveness'!D34+'Economic Competitiveness'!G34</f>
        <v>100894703.7600237</v>
      </c>
      <c r="D34" s="40">
        <f>Environmental!I119+Environmental!J119+Environmental!K119+Environmental!L119</f>
        <v>29184438.117155198</v>
      </c>
      <c r="E34" s="40">
        <f>' Safety'!Q34</f>
        <v>20814827.562331777</v>
      </c>
      <c r="F34" s="40">
        <f t="shared" si="3"/>
        <v>172913693.3773706</v>
      </c>
      <c r="G34" s="40">
        <f t="shared" si="11"/>
        <v>77843852.350490287</v>
      </c>
      <c r="H34" s="40">
        <f>Environmental!H119</f>
        <v>0</v>
      </c>
      <c r="I34" s="40">
        <f t="shared" si="4"/>
        <v>77843852.350490287</v>
      </c>
      <c r="J34" s="40">
        <f t="shared" si="13"/>
        <v>27827064.186490744</v>
      </c>
      <c r="K34" s="40">
        <f t="shared" si="5"/>
        <v>0</v>
      </c>
      <c r="L34" s="41">
        <f t="shared" si="6"/>
        <v>27827064.186490744</v>
      </c>
      <c r="N34" s="433">
        <f t="shared" si="7"/>
        <v>3543642.2611734322</v>
      </c>
      <c r="O34" s="40">
        <f t="shared" si="8"/>
        <v>16237021.734766684</v>
      </c>
      <c r="P34" s="40">
        <f t="shared" si="9"/>
        <v>4696662.3456498757</v>
      </c>
      <c r="Q34" s="41">
        <f t="shared" si="10"/>
        <v>3349737.8449007533</v>
      </c>
      <c r="S34" s="235">
        <f>F34-'Summary of Costs'!D34</f>
        <v>170079213.12002945</v>
      </c>
    </row>
    <row r="35" spans="1:20" x14ac:dyDescent="0.25">
      <c r="A35" s="427">
        <v>2046</v>
      </c>
      <c r="B35" s="40">
        <f>'State of Good Repair'!E35</f>
        <v>22019723.937859934</v>
      </c>
      <c r="C35" s="40">
        <f>'Economic Competitiveness'!D35+'Economic Competitiveness'!G35</f>
        <v>100894703.7600237</v>
      </c>
      <c r="D35" s="40">
        <f>Environmental!I120+Environmental!J120+Environmental!K120+Environmental!L120</f>
        <v>29184438.117155198</v>
      </c>
      <c r="E35" s="40">
        <f>' Safety'!Q35</f>
        <v>20814827.562331777</v>
      </c>
      <c r="F35" s="40">
        <f t="shared" si="3"/>
        <v>172913693.3773706</v>
      </c>
      <c r="G35" s="40">
        <f t="shared" si="11"/>
        <v>75576555.680087656</v>
      </c>
      <c r="H35" s="40">
        <f>Environmental!H120</f>
        <v>0</v>
      </c>
      <c r="I35" s="40">
        <f t="shared" si="4"/>
        <v>75576555.680087656</v>
      </c>
      <c r="J35" s="40">
        <f t="shared" si="13"/>
        <v>26006602.043449298</v>
      </c>
      <c r="K35" s="40">
        <f t="shared" si="5"/>
        <v>0</v>
      </c>
      <c r="L35" s="41">
        <f t="shared" si="6"/>
        <v>26006602.043449298</v>
      </c>
      <c r="N35" s="433">
        <f t="shared" si="7"/>
        <v>3311815.1973583489</v>
      </c>
      <c r="O35" s="40">
        <f t="shared" si="8"/>
        <v>15174786.668006251</v>
      </c>
      <c r="P35" s="40">
        <f t="shared" si="9"/>
        <v>4389404.0613550246</v>
      </c>
      <c r="Q35" s="41">
        <f t="shared" si="10"/>
        <v>3130596.1167296767</v>
      </c>
      <c r="S35" s="235">
        <f>F35-'Summary of Costs'!D35</f>
        <v>170079213.12002945</v>
      </c>
    </row>
    <row r="36" spans="1:20" x14ac:dyDescent="0.25">
      <c r="A36" s="427">
        <v>2047</v>
      </c>
      <c r="B36" s="40">
        <f>'State of Good Repair'!E36</f>
        <v>22019723.937859934</v>
      </c>
      <c r="C36" s="40">
        <f>'Economic Competitiveness'!D36+'Economic Competitiveness'!G36</f>
        <v>100894703.7600237</v>
      </c>
      <c r="D36" s="40">
        <f>Environmental!I121+Environmental!J121+Environmental!K121+Environmental!L121</f>
        <v>29184438.117155198</v>
      </c>
      <c r="E36" s="40">
        <f>' Safety'!Q36</f>
        <v>20814827.562331777</v>
      </c>
      <c r="F36" s="40">
        <f t="shared" si="3"/>
        <v>172913693.3773706</v>
      </c>
      <c r="G36" s="40">
        <f t="shared" si="11"/>
        <v>73375296.776784152</v>
      </c>
      <c r="H36" s="40">
        <f>Environmental!H121</f>
        <v>0</v>
      </c>
      <c r="I36" s="40">
        <f t="shared" si="4"/>
        <v>73375296.776784152</v>
      </c>
      <c r="J36" s="40">
        <f t="shared" si="13"/>
        <v>24305235.554625511</v>
      </c>
      <c r="K36" s="40">
        <f t="shared" si="5"/>
        <v>0</v>
      </c>
      <c r="L36" s="41">
        <f t="shared" si="6"/>
        <v>24305235.554625511</v>
      </c>
      <c r="N36" s="433">
        <f t="shared" si="7"/>
        <v>3095154.3900545314</v>
      </c>
      <c r="O36" s="40">
        <f t="shared" si="8"/>
        <v>14182043.614959111</v>
      </c>
      <c r="P36" s="40">
        <f t="shared" si="9"/>
        <v>4102246.7863131072</v>
      </c>
      <c r="Q36" s="41">
        <f t="shared" si="10"/>
        <v>2925790.763298763</v>
      </c>
      <c r="S36" s="235">
        <f>F36-'Summary of Costs'!D36</f>
        <v>170079213.12002945</v>
      </c>
    </row>
    <row r="37" spans="1:20" x14ac:dyDescent="0.25">
      <c r="A37" s="427">
        <v>2048</v>
      </c>
      <c r="B37" s="40">
        <f>'State of Good Repair'!E37</f>
        <v>22019723.937859934</v>
      </c>
      <c r="C37" s="40">
        <f>'Economic Competitiveness'!D37+'Economic Competitiveness'!G37</f>
        <v>100894703.7600237</v>
      </c>
      <c r="D37" s="40">
        <f>Environmental!I122+Environmental!J122+Environmental!K122+Environmental!L122</f>
        <v>29184438.117155198</v>
      </c>
      <c r="E37" s="40">
        <f>' Safety'!Q37</f>
        <v>20814827.562331777</v>
      </c>
      <c r="F37" s="40">
        <f t="shared" si="3"/>
        <v>172913693.3773706</v>
      </c>
      <c r="G37" s="40">
        <f t="shared" si="11"/>
        <v>71238152.210470051</v>
      </c>
      <c r="H37" s="40">
        <f>Environmental!H122</f>
        <v>0</v>
      </c>
      <c r="I37" s="40">
        <f t="shared" si="4"/>
        <v>71238152.210470051</v>
      </c>
      <c r="J37" s="40">
        <f>$F37/(1+7%)^($A37-2018)</f>
        <v>22715173.415537864</v>
      </c>
      <c r="K37" s="40">
        <f t="shared" si="5"/>
        <v>0</v>
      </c>
      <c r="L37" s="41">
        <f t="shared" si="6"/>
        <v>22715173.415537864</v>
      </c>
      <c r="N37" s="433">
        <f t="shared" si="7"/>
        <v>2892667.6542565715</v>
      </c>
      <c r="O37" s="40">
        <f t="shared" si="8"/>
        <v>13254246.369120667</v>
      </c>
      <c r="P37" s="40">
        <f t="shared" si="9"/>
        <v>3833875.5012272033</v>
      </c>
      <c r="Q37" s="41">
        <f t="shared" si="10"/>
        <v>2734383.8909334233</v>
      </c>
      <c r="S37" s="235">
        <f>F37-'Summary of Costs'!D37</f>
        <v>170079213.12002945</v>
      </c>
    </row>
    <row r="38" spans="1:20" x14ac:dyDescent="0.25">
      <c r="A38" s="427">
        <v>2049</v>
      </c>
      <c r="B38" s="40">
        <f>'State of Good Repair'!E38</f>
        <v>22019723.937859934</v>
      </c>
      <c r="C38" s="40">
        <f>'Economic Competitiveness'!D38+'Economic Competitiveness'!G38</f>
        <v>100894703.7600237</v>
      </c>
      <c r="D38" s="40">
        <f>Environmental!I123+Environmental!J123+Environmental!K123+Environmental!L123</f>
        <v>29184438.117155198</v>
      </c>
      <c r="E38" s="40">
        <f>' Safety'!Q38</f>
        <v>20814827.562331777</v>
      </c>
      <c r="F38" s="40">
        <f t="shared" si="3"/>
        <v>172913693.3773706</v>
      </c>
      <c r="G38" s="40">
        <f>$F38/(1+3%)^($A38-2018)</f>
        <v>69163254.573271871</v>
      </c>
      <c r="H38" s="40">
        <f>Environmental!H123</f>
        <v>0</v>
      </c>
      <c r="I38" s="40">
        <f t="shared" si="4"/>
        <v>69163254.573271871</v>
      </c>
      <c r="J38" s="40">
        <f t="shared" si="13"/>
        <v>21229134.033212952</v>
      </c>
      <c r="K38" s="40">
        <f t="shared" si="5"/>
        <v>0</v>
      </c>
      <c r="L38" s="41">
        <f t="shared" si="6"/>
        <v>21229134.033212952</v>
      </c>
      <c r="N38" s="433">
        <f t="shared" si="7"/>
        <v>2703427.7142584776</v>
      </c>
      <c r="O38" s="40">
        <f t="shared" si="8"/>
        <v>12387146.139365107</v>
      </c>
      <c r="P38" s="40">
        <f t="shared" si="9"/>
        <v>3583061.2161001894</v>
      </c>
      <c r="Q38" s="41">
        <f t="shared" si="10"/>
        <v>2555498.9634891804</v>
      </c>
      <c r="S38" s="235">
        <f>F38-'Summary of Costs'!D38</f>
        <v>170079213.12002945</v>
      </c>
    </row>
    <row r="39" spans="1:20" x14ac:dyDescent="0.25">
      <c r="A39" s="427">
        <v>2050</v>
      </c>
      <c r="B39" s="40">
        <f>'State of Good Repair'!E39</f>
        <v>22019723.937859934</v>
      </c>
      <c r="C39" s="40">
        <f>'Economic Competitiveness'!D39+'Economic Competitiveness'!G39</f>
        <v>100894703.7600237</v>
      </c>
      <c r="D39" s="40">
        <f>Environmental!I124+Environmental!J124+Environmental!K124+Environmental!L124</f>
        <v>29184438.117155198</v>
      </c>
      <c r="E39" s="40">
        <f>' Safety'!Q39</f>
        <v>20814827.562331777</v>
      </c>
      <c r="F39" s="40">
        <f>B39+C39+D39+E39</f>
        <v>172913693.3773706</v>
      </c>
      <c r="G39" s="40">
        <f t="shared" si="11"/>
        <v>67148790.847836792</v>
      </c>
      <c r="H39" s="40">
        <f>Environmental!H124</f>
        <v>0</v>
      </c>
      <c r="I39" s="40">
        <f t="shared" si="4"/>
        <v>67148790.847836792</v>
      </c>
      <c r="J39" s="40">
        <f t="shared" si="13"/>
        <v>19840312.180572856</v>
      </c>
      <c r="K39" s="40">
        <f t="shared" si="5"/>
        <v>0</v>
      </c>
      <c r="L39" s="41">
        <f t="shared" si="6"/>
        <v>19840312.180572856</v>
      </c>
      <c r="N39" s="433">
        <f t="shared" si="7"/>
        <v>2526567.9572509141</v>
      </c>
      <c r="O39" s="40">
        <f t="shared" si="8"/>
        <v>11576772.092864586</v>
      </c>
      <c r="P39" s="40">
        <f t="shared" si="9"/>
        <v>3348655.3421497098</v>
      </c>
      <c r="Q39" s="41">
        <f t="shared" si="10"/>
        <v>2388316.7883076454</v>
      </c>
      <c r="S39" s="235">
        <f>F39-'Summary of Costs'!D39</f>
        <v>170079213.12002945</v>
      </c>
    </row>
    <row r="40" spans="1:20" ht="17.25" x14ac:dyDescent="0.4">
      <c r="A40" s="427">
        <v>2051</v>
      </c>
      <c r="B40" s="40">
        <f>'State of Good Repair'!E40</f>
        <v>22019723.937859934</v>
      </c>
      <c r="C40" s="40">
        <f>'Economic Competitiveness'!D40+'Economic Competitiveness'!G40</f>
        <v>100894703.7600237</v>
      </c>
      <c r="D40" s="40">
        <f>Environmental!I125+Environmental!J125+Environmental!K125+Environmental!L125</f>
        <v>29184438.117155198</v>
      </c>
      <c r="E40" s="40">
        <f>' Safety'!Q40</f>
        <v>20814827.562331777</v>
      </c>
      <c r="F40" s="40">
        <f t="shared" si="3"/>
        <v>172913693.3773706</v>
      </c>
      <c r="G40" s="40">
        <f t="shared" si="11"/>
        <v>65193000.823142506</v>
      </c>
      <c r="H40" s="40">
        <f>Environmental!H125</f>
        <v>0</v>
      </c>
      <c r="I40" s="40">
        <f t="shared" si="4"/>
        <v>65193000.823142506</v>
      </c>
      <c r="J40" s="40">
        <f t="shared" si="13"/>
        <v>18542347.832311079</v>
      </c>
      <c r="K40" s="40">
        <f t="shared" si="5"/>
        <v>0</v>
      </c>
      <c r="L40" s="41">
        <f t="shared" si="6"/>
        <v>18542347.832311079</v>
      </c>
      <c r="N40" s="434">
        <f>$B40/(1+7%)^($A40-2018)</f>
        <v>2361278.4647204801</v>
      </c>
      <c r="O40" s="431">
        <f t="shared" si="8"/>
        <v>10819413.170901483</v>
      </c>
      <c r="P40" s="431">
        <f t="shared" si="9"/>
        <v>3129584.4319156166</v>
      </c>
      <c r="Q40" s="435">
        <f t="shared" si="10"/>
        <v>2232071.7647735006</v>
      </c>
      <c r="S40" s="438">
        <f>F40-'Summary of Costs'!D40</f>
        <v>170079213.12002945</v>
      </c>
    </row>
    <row r="41" spans="1:20" ht="15.75" thickBot="1" x14ac:dyDescent="0.3">
      <c r="A41" s="430" t="s">
        <v>2</v>
      </c>
      <c r="B41" s="42">
        <f t="shared" ref="B41:L41" si="14">SUM(B3:B40)</f>
        <v>539332416.45059693</v>
      </c>
      <c r="C41" s="42">
        <f t="shared" si="14"/>
        <v>2471229182.505785</v>
      </c>
      <c r="D41" s="42">
        <f t="shared" si="14"/>
        <v>715741023.18557012</v>
      </c>
      <c r="E41" s="42">
        <f t="shared" si="14"/>
        <v>509820707.96505791</v>
      </c>
      <c r="F41" s="42">
        <f t="shared" si="14"/>
        <v>4236123330.1070127</v>
      </c>
      <c r="G41" s="42">
        <f t="shared" si="14"/>
        <v>2326372283.9462099</v>
      </c>
      <c r="H41" s="42">
        <f t="shared" si="14"/>
        <v>0</v>
      </c>
      <c r="I41" s="42">
        <f t="shared" si="14"/>
        <v>2326372283.9462099</v>
      </c>
      <c r="J41" s="364">
        <f t="shared" si="14"/>
        <v>1152134842.7277241</v>
      </c>
      <c r="K41" s="42">
        <f>SUM(K3:K40)</f>
        <v>0</v>
      </c>
      <c r="L41" s="440">
        <f t="shared" si="14"/>
        <v>1152134842.7277241</v>
      </c>
      <c r="N41" s="178">
        <f>SUM(N3:N40)</f>
        <v>146658180.47484741</v>
      </c>
      <c r="O41" s="169">
        <f t="shared" ref="O41:Q41" si="15">SUM(O3:O40)</f>
        <v>671989972.02468657</v>
      </c>
      <c r="P41" s="169">
        <f t="shared" si="15"/>
        <v>194853492.74560812</v>
      </c>
      <c r="Q41" s="170">
        <f t="shared" si="15"/>
        <v>138633197.4825823</v>
      </c>
      <c r="S41" s="437">
        <f>SUM(S3:S40)</f>
        <v>3584192870.9185495</v>
      </c>
    </row>
    <row r="42" spans="1:20" x14ac:dyDescent="0.25">
      <c r="F42" s="200"/>
      <c r="S42" s="436">
        <f>IRR(S3:S40)</f>
        <v>0.12910578172627685</v>
      </c>
      <c r="T42" s="3" t="s">
        <v>417</v>
      </c>
    </row>
  </sheetData>
  <mergeCells count="1">
    <mergeCell ref="A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0" zoomScaleNormal="80" workbookViewId="0">
      <selection activeCell="L41" sqref="L41"/>
    </sheetView>
  </sheetViews>
  <sheetFormatPr defaultColWidth="9.140625" defaultRowHeight="15" x14ac:dyDescent="0.25"/>
  <cols>
    <col min="1" max="1" width="13" style="3" customWidth="1"/>
    <col min="2" max="3" width="15.28515625" style="3" customWidth="1"/>
    <col min="4" max="4" width="16.28515625" style="3" bestFit="1" customWidth="1"/>
    <col min="5" max="5" width="20" style="3" customWidth="1"/>
    <col min="6" max="6" width="9.140625" style="3"/>
    <col min="7" max="7" width="20.42578125" style="3" customWidth="1"/>
    <col min="8" max="8" width="21.28515625" style="3" customWidth="1"/>
    <col min="9" max="9" width="9.140625" style="3"/>
    <col min="10" max="11" width="19.140625" style="3" customWidth="1"/>
    <col min="12" max="12" width="20.28515625" style="3" customWidth="1"/>
    <col min="13" max="16384" width="9.140625" style="3"/>
  </cols>
  <sheetData>
    <row r="1" spans="1:12" ht="21.75" thickBot="1" x14ac:dyDescent="0.4">
      <c r="A1" s="513" t="s">
        <v>49</v>
      </c>
      <c r="B1" s="513"/>
      <c r="C1" s="513"/>
      <c r="D1" s="513"/>
      <c r="E1" s="513"/>
    </row>
    <row r="2" spans="1:12" ht="30" x14ac:dyDescent="0.25">
      <c r="A2" s="324" t="s">
        <v>3</v>
      </c>
      <c r="B2" s="422" t="s">
        <v>398</v>
      </c>
      <c r="C2" s="422" t="s">
        <v>400</v>
      </c>
      <c r="D2" s="181" t="s">
        <v>399</v>
      </c>
      <c r="E2" s="182" t="s">
        <v>383</v>
      </c>
      <c r="G2" s="428" t="s">
        <v>401</v>
      </c>
      <c r="H2" s="428" t="s">
        <v>402</v>
      </c>
      <c r="J2" s="428" t="s">
        <v>441</v>
      </c>
      <c r="K2" s="428" t="s">
        <v>442</v>
      </c>
      <c r="L2" s="421" t="s">
        <v>382</v>
      </c>
    </row>
    <row r="3" spans="1:12" x14ac:dyDescent="0.25">
      <c r="A3" s="427">
        <v>2014</v>
      </c>
      <c r="B3" s="423">
        <f>'Project Costs'!O6</f>
        <v>2578748.7244184995</v>
      </c>
      <c r="C3" s="424">
        <v>0</v>
      </c>
      <c r="D3" s="40">
        <f>B3+C3</f>
        <v>2578748.7244184995</v>
      </c>
      <c r="E3" s="41">
        <f>$D3/(1+7%)^($A3-2018)</f>
        <v>3380213.5387603589</v>
      </c>
      <c r="G3" s="41">
        <f>$B3/(1+7%)^($A3-2018)</f>
        <v>3380213.5387603589</v>
      </c>
      <c r="H3" s="41">
        <f>$C3/(1+7%)^($A3-2018)</f>
        <v>0</v>
      </c>
      <c r="J3" s="41">
        <f>$B3/(1+3%)^($A3-2018)</f>
        <v>2902404.4081092831</v>
      </c>
      <c r="K3" s="41">
        <f>$C3/(1+3%)^($A3-2018)</f>
        <v>0</v>
      </c>
      <c r="L3" s="40">
        <f>$D3/(1+3%)^($A3-2018)</f>
        <v>2902404.4081092831</v>
      </c>
    </row>
    <row r="4" spans="1:12" x14ac:dyDescent="0.25">
      <c r="A4" s="427">
        <v>2015</v>
      </c>
      <c r="B4" s="423">
        <f>'Project Costs'!O7</f>
        <v>29144268.751548328</v>
      </c>
      <c r="C4" s="424">
        <v>0</v>
      </c>
      <c r="D4" s="40">
        <f t="shared" ref="D4:D39" si="0">B4+C4</f>
        <v>29144268.751548328</v>
      </c>
      <c r="E4" s="41">
        <f>$D4/(1+7%)^($A4-2018)</f>
        <v>35702982.424203023</v>
      </c>
      <c r="G4" s="41">
        <f t="shared" ref="G4:G40" si="1">$B4/(1+7%)^($A4-2018)</f>
        <v>35702982.424203023</v>
      </c>
      <c r="H4" s="41">
        <f t="shared" ref="H4:H40" si="2">$C4/(1+7%)^($A4-2018)</f>
        <v>0</v>
      </c>
      <c r="J4" s="41">
        <f t="shared" ref="J4:J40" si="3">$B4/(1+3%)^($A4-2018)</f>
        <v>31846729.360073149</v>
      </c>
      <c r="K4" s="41">
        <f t="shared" ref="K4:K40" si="4">$C4/(1+3%)^($A4-2018)</f>
        <v>0</v>
      </c>
      <c r="L4" s="40">
        <f>$D4/(1+3%)^($A4-2018)</f>
        <v>31846729.360073149</v>
      </c>
    </row>
    <row r="5" spans="1:12" x14ac:dyDescent="0.25">
      <c r="A5" s="427">
        <v>2016</v>
      </c>
      <c r="B5" s="423">
        <f>'Project Costs'!O8</f>
        <v>1664093.690126667</v>
      </c>
      <c r="C5" s="424">
        <v>0</v>
      </c>
      <c r="D5" s="40">
        <f t="shared" si="0"/>
        <v>1664093.690126667</v>
      </c>
      <c r="E5" s="41">
        <f t="shared" ref="E5:E40" si="5">$D5/(1+7%)^($A5-2018)</f>
        <v>1905220.8658260212</v>
      </c>
      <c r="G5" s="41">
        <f t="shared" si="1"/>
        <v>1905220.8658260212</v>
      </c>
      <c r="H5" s="41">
        <f t="shared" si="2"/>
        <v>0</v>
      </c>
      <c r="J5" s="41">
        <f t="shared" si="3"/>
        <v>1765436.995855381</v>
      </c>
      <c r="K5" s="41">
        <f t="shared" si="4"/>
        <v>0</v>
      </c>
      <c r="L5" s="40">
        <f t="shared" ref="L5:L7" si="6">$D5/(1+3%)^($A5-2018)</f>
        <v>1765436.995855381</v>
      </c>
    </row>
    <row r="6" spans="1:12" x14ac:dyDescent="0.25">
      <c r="A6" s="427">
        <v>2017</v>
      </c>
      <c r="B6" s="423">
        <f>'Project Costs'!O9</f>
        <v>14850520.189166665</v>
      </c>
      <c r="C6" s="424">
        <v>0</v>
      </c>
      <c r="D6" s="40">
        <f t="shared" si="0"/>
        <v>14850520.189166665</v>
      </c>
      <c r="E6" s="41">
        <f t="shared" si="5"/>
        <v>15890056.602408331</v>
      </c>
      <c r="G6" s="41">
        <f t="shared" si="1"/>
        <v>15890056.602408331</v>
      </c>
      <c r="H6" s="41">
        <f t="shared" si="2"/>
        <v>0</v>
      </c>
      <c r="J6" s="41">
        <f t="shared" si="3"/>
        <v>15296035.794841664</v>
      </c>
      <c r="K6" s="41">
        <f t="shared" si="4"/>
        <v>0</v>
      </c>
      <c r="L6" s="40">
        <f t="shared" si="6"/>
        <v>15296035.794841664</v>
      </c>
    </row>
    <row r="7" spans="1:12" x14ac:dyDescent="0.25">
      <c r="A7" s="427">
        <v>2018</v>
      </c>
      <c r="B7" s="423">
        <f>'Project Costs'!O10</f>
        <v>65853659.184675835</v>
      </c>
      <c r="C7" s="424">
        <v>0</v>
      </c>
      <c r="D7" s="40">
        <f t="shared" si="0"/>
        <v>65853659.184675835</v>
      </c>
      <c r="E7" s="41">
        <f t="shared" si="5"/>
        <v>65853659.184675835</v>
      </c>
      <c r="G7" s="41">
        <f t="shared" si="1"/>
        <v>65853659.184675835</v>
      </c>
      <c r="H7" s="41">
        <f t="shared" si="2"/>
        <v>0</v>
      </c>
      <c r="J7" s="41">
        <f t="shared" si="3"/>
        <v>65853659.184675835</v>
      </c>
      <c r="K7" s="41">
        <f t="shared" si="4"/>
        <v>0</v>
      </c>
      <c r="L7" s="40">
        <f t="shared" si="6"/>
        <v>65853659.184675835</v>
      </c>
    </row>
    <row r="8" spans="1:12" x14ac:dyDescent="0.25">
      <c r="A8" s="427">
        <v>2019</v>
      </c>
      <c r="B8" s="423">
        <f>'Project Costs'!O11</f>
        <v>120845728.88015717</v>
      </c>
      <c r="C8" s="424">
        <v>0</v>
      </c>
      <c r="D8" s="40">
        <f t="shared" si="0"/>
        <v>120845728.88015717</v>
      </c>
      <c r="E8" s="41">
        <f t="shared" si="5"/>
        <v>112939933.53285716</v>
      </c>
      <c r="G8" s="41">
        <f t="shared" si="1"/>
        <v>112939933.53285716</v>
      </c>
      <c r="H8" s="41">
        <f t="shared" si="2"/>
        <v>0</v>
      </c>
      <c r="J8" s="41">
        <f t="shared" si="3"/>
        <v>117325950.36908463</v>
      </c>
      <c r="K8" s="41">
        <f t="shared" si="4"/>
        <v>0</v>
      </c>
      <c r="L8" s="40">
        <f>$D8/(1+3%)^($A8-2018)</f>
        <v>117325950.36908463</v>
      </c>
    </row>
    <row r="9" spans="1:12" x14ac:dyDescent="0.25">
      <c r="A9" s="427">
        <v>2020</v>
      </c>
      <c r="B9" s="423">
        <f>'Project Costs'!O12</f>
        <v>124476703.21709234</v>
      </c>
      <c r="C9" s="424">
        <v>0</v>
      </c>
      <c r="D9" s="40">
        <f t="shared" si="0"/>
        <v>124476703.21709234</v>
      </c>
      <c r="E9" s="41">
        <f t="shared" si="5"/>
        <v>108722773.35757911</v>
      </c>
      <c r="G9" s="41">
        <f t="shared" si="1"/>
        <v>108722773.35757911</v>
      </c>
      <c r="H9" s="41">
        <f t="shared" si="2"/>
        <v>0</v>
      </c>
      <c r="J9" s="41">
        <f t="shared" si="3"/>
        <v>117331231.23488767</v>
      </c>
      <c r="K9" s="41">
        <f t="shared" si="4"/>
        <v>0</v>
      </c>
      <c r="L9" s="40">
        <f t="shared" ref="L9:L40" si="7">$D9/(1+3%)^($A9-2018)</f>
        <v>117331231.23488767</v>
      </c>
    </row>
    <row r="10" spans="1:12" x14ac:dyDescent="0.25">
      <c r="A10" s="427">
        <v>2021</v>
      </c>
      <c r="B10" s="423">
        <f>'Project Costs'!O13</f>
        <v>103966413.67878193</v>
      </c>
      <c r="C10" s="424">
        <v>0</v>
      </c>
      <c r="D10" s="40">
        <f t="shared" si="0"/>
        <v>103966413.67878193</v>
      </c>
      <c r="E10" s="41">
        <f t="shared" si="5"/>
        <v>84867562.753945708</v>
      </c>
      <c r="G10" s="41">
        <f t="shared" si="1"/>
        <v>84867562.753945708</v>
      </c>
      <c r="H10" s="41">
        <f t="shared" si="2"/>
        <v>0</v>
      </c>
      <c r="J10" s="41">
        <f t="shared" si="3"/>
        <v>95143996.330997527</v>
      </c>
      <c r="K10" s="41">
        <f t="shared" si="4"/>
        <v>0</v>
      </c>
      <c r="L10" s="40">
        <f t="shared" si="7"/>
        <v>95143996.330997527</v>
      </c>
    </row>
    <row r="11" spans="1:12" x14ac:dyDescent="0.25">
      <c r="A11" s="427">
        <v>2022</v>
      </c>
      <c r="B11" s="423">
        <f>'Project Costs'!O14</f>
        <v>71696204.813359529</v>
      </c>
      <c r="C11" s="423">
        <f>'Project Costs'!$O$17</f>
        <v>2834480.2573411339</v>
      </c>
      <c r="D11" s="40">
        <f t="shared" si="0"/>
        <v>74530685.07070066</v>
      </c>
      <c r="E11" s="41">
        <f t="shared" si="5"/>
        <v>56859102.791059501</v>
      </c>
      <c r="G11" s="41">
        <f t="shared" si="1"/>
        <v>54696691.374090716</v>
      </c>
      <c r="H11" s="41">
        <f t="shared" si="2"/>
        <v>2162411.416968788</v>
      </c>
      <c r="J11" s="41">
        <f t="shared" si="3"/>
        <v>63701149.361380421</v>
      </c>
      <c r="K11" s="41">
        <f t="shared" si="4"/>
        <v>2518398.9962203265</v>
      </c>
      <c r="L11" s="40">
        <f t="shared" si="7"/>
        <v>66219548.357600741</v>
      </c>
    </row>
    <row r="12" spans="1:12" x14ac:dyDescent="0.25">
      <c r="A12" s="427">
        <v>2023</v>
      </c>
      <c r="B12" s="423">
        <f>'Project Costs'!O15</f>
        <v>31819710.338899802</v>
      </c>
      <c r="C12" s="423">
        <f>'Project Costs'!$O$17</f>
        <v>2834480.2573411339</v>
      </c>
      <c r="D12" s="40">
        <f t="shared" si="0"/>
        <v>34654190.596240938</v>
      </c>
      <c r="E12" s="41">
        <f t="shared" si="5"/>
        <v>24707958.956312694</v>
      </c>
      <c r="G12" s="41">
        <f t="shared" si="1"/>
        <v>22687013.706809152</v>
      </c>
      <c r="H12" s="41">
        <f t="shared" si="2"/>
        <v>2020945.2495035401</v>
      </c>
      <c r="J12" s="41">
        <f t="shared" si="3"/>
        <v>27447961.654894575</v>
      </c>
      <c r="K12" s="41">
        <f t="shared" si="4"/>
        <v>2445047.5691459482</v>
      </c>
      <c r="L12" s="40">
        <f t="shared" si="7"/>
        <v>29893009.224040527</v>
      </c>
    </row>
    <row r="13" spans="1:12" x14ac:dyDescent="0.25">
      <c r="A13" s="427">
        <v>2024</v>
      </c>
      <c r="B13" s="424">
        <v>0</v>
      </c>
      <c r="C13" s="423">
        <f>'Project Costs'!$O$17</f>
        <v>2834480.2573411339</v>
      </c>
      <c r="D13" s="40">
        <f t="shared" si="0"/>
        <v>2834480.2573411339</v>
      </c>
      <c r="E13" s="41">
        <f t="shared" si="5"/>
        <v>1888733.8780406918</v>
      </c>
      <c r="G13" s="41">
        <f t="shared" si="1"/>
        <v>0</v>
      </c>
      <c r="H13" s="41">
        <f t="shared" si="2"/>
        <v>1888733.8780406918</v>
      </c>
      <c r="J13" s="41">
        <f t="shared" si="3"/>
        <v>0</v>
      </c>
      <c r="K13" s="41">
        <f t="shared" si="4"/>
        <v>2373832.5914038331</v>
      </c>
      <c r="L13" s="40">
        <f t="shared" si="7"/>
        <v>2373832.5914038331</v>
      </c>
    </row>
    <row r="14" spans="1:12" x14ac:dyDescent="0.25">
      <c r="A14" s="427">
        <v>2025</v>
      </c>
      <c r="B14" s="424">
        <v>0</v>
      </c>
      <c r="C14" s="423">
        <f>'Project Costs'!$O$17</f>
        <v>2834480.2573411339</v>
      </c>
      <c r="D14" s="40">
        <f t="shared" si="0"/>
        <v>2834480.2573411339</v>
      </c>
      <c r="E14" s="41">
        <f t="shared" si="5"/>
        <v>1765171.8486361606</v>
      </c>
      <c r="G14" s="41">
        <f t="shared" si="1"/>
        <v>0</v>
      </c>
      <c r="H14" s="41">
        <f t="shared" si="2"/>
        <v>1765171.8486361606</v>
      </c>
      <c r="J14" s="41">
        <f t="shared" si="3"/>
        <v>0</v>
      </c>
      <c r="K14" s="41">
        <f t="shared" si="4"/>
        <v>2304691.8363144007</v>
      </c>
      <c r="L14" s="40">
        <f t="shared" si="7"/>
        <v>2304691.8363144007</v>
      </c>
    </row>
    <row r="15" spans="1:12" x14ac:dyDescent="0.25">
      <c r="A15" s="427">
        <v>2026</v>
      </c>
      <c r="B15" s="424">
        <v>0</v>
      </c>
      <c r="C15" s="423">
        <f>'Project Costs'!$O$17</f>
        <v>2834480.2573411339</v>
      </c>
      <c r="D15" s="40">
        <f t="shared" si="0"/>
        <v>2834480.2573411339</v>
      </c>
      <c r="E15" s="41">
        <f t="shared" si="5"/>
        <v>1649693.3164823931</v>
      </c>
      <c r="G15" s="41">
        <f t="shared" si="1"/>
        <v>0</v>
      </c>
      <c r="H15" s="41">
        <f t="shared" si="2"/>
        <v>1649693.3164823931</v>
      </c>
      <c r="J15" s="41">
        <f t="shared" si="3"/>
        <v>0</v>
      </c>
      <c r="K15" s="41">
        <f t="shared" si="4"/>
        <v>2237564.8896256322</v>
      </c>
      <c r="L15" s="40">
        <f t="shared" si="7"/>
        <v>2237564.8896256322</v>
      </c>
    </row>
    <row r="16" spans="1:12" x14ac:dyDescent="0.25">
      <c r="A16" s="427">
        <v>2027</v>
      </c>
      <c r="B16" s="424">
        <v>0</v>
      </c>
      <c r="C16" s="423">
        <f>'Project Costs'!$O$17</f>
        <v>2834480.2573411339</v>
      </c>
      <c r="D16" s="40">
        <f t="shared" si="0"/>
        <v>2834480.2573411339</v>
      </c>
      <c r="E16" s="41">
        <f t="shared" si="5"/>
        <v>1541769.4546564419</v>
      </c>
      <c r="G16" s="41">
        <f t="shared" si="1"/>
        <v>0</v>
      </c>
      <c r="H16" s="41">
        <f t="shared" si="2"/>
        <v>1541769.4546564419</v>
      </c>
      <c r="J16" s="41">
        <f t="shared" si="3"/>
        <v>0</v>
      </c>
      <c r="K16" s="41">
        <f t="shared" si="4"/>
        <v>2172393.0967239146</v>
      </c>
      <c r="L16" s="40">
        <f t="shared" si="7"/>
        <v>2172393.0967239146</v>
      </c>
    </row>
    <row r="17" spans="1:12" x14ac:dyDescent="0.25">
      <c r="A17" s="427">
        <v>2028</v>
      </c>
      <c r="B17" s="424">
        <v>0</v>
      </c>
      <c r="C17" s="423">
        <f>'Project Costs'!$O$17</f>
        <v>2834480.2573411339</v>
      </c>
      <c r="D17" s="40">
        <f t="shared" si="0"/>
        <v>2834480.2573411339</v>
      </c>
      <c r="E17" s="41">
        <f t="shared" si="5"/>
        <v>1440906.0323891982</v>
      </c>
      <c r="G17" s="41">
        <f t="shared" si="1"/>
        <v>0</v>
      </c>
      <c r="H17" s="41">
        <f t="shared" si="2"/>
        <v>1440906.0323891982</v>
      </c>
      <c r="J17" s="41">
        <f t="shared" si="3"/>
        <v>0</v>
      </c>
      <c r="K17" s="41">
        <f t="shared" si="4"/>
        <v>2109119.5113824415</v>
      </c>
      <c r="L17" s="40">
        <f t="shared" si="7"/>
        <v>2109119.5113824415</v>
      </c>
    </row>
    <row r="18" spans="1:12" x14ac:dyDescent="0.25">
      <c r="A18" s="427">
        <v>2029</v>
      </c>
      <c r="B18" s="424">
        <v>0</v>
      </c>
      <c r="C18" s="423">
        <f>'Project Costs'!$O$17</f>
        <v>2834480.2573411339</v>
      </c>
      <c r="D18" s="40">
        <f t="shared" si="0"/>
        <v>2834480.2573411339</v>
      </c>
      <c r="E18" s="41">
        <f t="shared" si="5"/>
        <v>1346641.1517656057</v>
      </c>
      <c r="G18" s="41">
        <f t="shared" si="1"/>
        <v>0</v>
      </c>
      <c r="H18" s="41">
        <f t="shared" si="2"/>
        <v>1346641.1517656057</v>
      </c>
      <c r="J18" s="41">
        <f t="shared" si="3"/>
        <v>0</v>
      </c>
      <c r="K18" s="41">
        <f t="shared" si="4"/>
        <v>2047688.8460023701</v>
      </c>
      <c r="L18" s="40">
        <f t="shared" si="7"/>
        <v>2047688.8460023701</v>
      </c>
    </row>
    <row r="19" spans="1:12" x14ac:dyDescent="0.25">
      <c r="A19" s="427">
        <v>2030</v>
      </c>
      <c r="B19" s="424">
        <v>0</v>
      </c>
      <c r="C19" s="423">
        <f>'Project Costs'!$O$17</f>
        <v>2834480.2573411339</v>
      </c>
      <c r="D19" s="40">
        <f t="shared" si="0"/>
        <v>2834480.2573411339</v>
      </c>
      <c r="E19" s="41">
        <f t="shared" si="5"/>
        <v>1258543.1324912205</v>
      </c>
      <c r="G19" s="41">
        <f t="shared" si="1"/>
        <v>0</v>
      </c>
      <c r="H19" s="41">
        <f t="shared" si="2"/>
        <v>1258543.1324912205</v>
      </c>
      <c r="J19" s="41">
        <f t="shared" si="3"/>
        <v>0</v>
      </c>
      <c r="K19" s="41">
        <f t="shared" si="4"/>
        <v>1988047.4233032723</v>
      </c>
      <c r="L19" s="40">
        <f t="shared" si="7"/>
        <v>1988047.4233032723</v>
      </c>
    </row>
    <row r="20" spans="1:12" x14ac:dyDescent="0.25">
      <c r="A20" s="427">
        <v>2031</v>
      </c>
      <c r="B20" s="424">
        <v>0</v>
      </c>
      <c r="C20" s="423">
        <f>'Project Costs'!$O$17</f>
        <v>2834480.2573411339</v>
      </c>
      <c r="D20" s="40">
        <f t="shared" si="0"/>
        <v>2834480.2573411339</v>
      </c>
      <c r="E20" s="41">
        <f t="shared" si="5"/>
        <v>1176208.5350385236</v>
      </c>
      <c r="G20" s="41">
        <f t="shared" si="1"/>
        <v>0</v>
      </c>
      <c r="H20" s="41">
        <f t="shared" si="2"/>
        <v>1176208.5350385236</v>
      </c>
      <c r="J20" s="41">
        <f t="shared" si="3"/>
        <v>0</v>
      </c>
      <c r="K20" s="41">
        <f t="shared" si="4"/>
        <v>1930143.129420653</v>
      </c>
      <c r="L20" s="40">
        <f t="shared" si="7"/>
        <v>1930143.129420653</v>
      </c>
    </row>
    <row r="21" spans="1:12" x14ac:dyDescent="0.25">
      <c r="A21" s="427">
        <v>2032</v>
      </c>
      <c r="B21" s="424">
        <v>0</v>
      </c>
      <c r="C21" s="423">
        <f>'Project Costs'!$O$17</f>
        <v>2834480.2573411339</v>
      </c>
      <c r="D21" s="40">
        <f t="shared" si="0"/>
        <v>2834480.2573411339</v>
      </c>
      <c r="E21" s="41">
        <f t="shared" si="5"/>
        <v>1099260.3131201155</v>
      </c>
      <c r="G21" s="41">
        <f t="shared" si="1"/>
        <v>0</v>
      </c>
      <c r="H21" s="41">
        <f t="shared" si="2"/>
        <v>1099260.3131201155</v>
      </c>
      <c r="J21" s="41">
        <f t="shared" si="3"/>
        <v>0</v>
      </c>
      <c r="K21" s="41">
        <f t="shared" si="4"/>
        <v>1873925.3683695656</v>
      </c>
      <c r="L21" s="40">
        <f t="shared" si="7"/>
        <v>1873925.3683695656</v>
      </c>
    </row>
    <row r="22" spans="1:12" x14ac:dyDescent="0.25">
      <c r="A22" s="427">
        <v>2033</v>
      </c>
      <c r="B22" s="424">
        <v>0</v>
      </c>
      <c r="C22" s="423">
        <f>'Project Costs'!$O$17</f>
        <v>2834480.2573411339</v>
      </c>
      <c r="D22" s="40">
        <f t="shared" si="0"/>
        <v>2834480.2573411339</v>
      </c>
      <c r="E22" s="41">
        <f t="shared" si="5"/>
        <v>1027346.0870281453</v>
      </c>
      <c r="G22" s="41">
        <f t="shared" si="1"/>
        <v>0</v>
      </c>
      <c r="H22" s="41">
        <f t="shared" si="2"/>
        <v>1027346.0870281453</v>
      </c>
      <c r="J22" s="41">
        <f t="shared" si="3"/>
        <v>0</v>
      </c>
      <c r="K22" s="41">
        <f t="shared" si="4"/>
        <v>1819345.0178345297</v>
      </c>
      <c r="L22" s="40">
        <f t="shared" si="7"/>
        <v>1819345.0178345297</v>
      </c>
    </row>
    <row r="23" spans="1:12" x14ac:dyDescent="0.25">
      <c r="A23" s="427">
        <v>2034</v>
      </c>
      <c r="B23" s="424">
        <v>0</v>
      </c>
      <c r="C23" s="423">
        <f>'Project Costs'!$O$17</f>
        <v>2834480.2573411339</v>
      </c>
      <c r="D23" s="40">
        <f t="shared" si="0"/>
        <v>2834480.2573411339</v>
      </c>
      <c r="E23" s="41">
        <f t="shared" si="5"/>
        <v>960136.5299328462</v>
      </c>
      <c r="G23" s="41">
        <f t="shared" si="1"/>
        <v>0</v>
      </c>
      <c r="H23" s="41">
        <f t="shared" si="2"/>
        <v>960136.5299328462</v>
      </c>
      <c r="J23" s="41">
        <f t="shared" si="3"/>
        <v>0</v>
      </c>
      <c r="K23" s="41">
        <f t="shared" si="4"/>
        <v>1766354.3862471166</v>
      </c>
      <c r="L23" s="40">
        <f t="shared" si="7"/>
        <v>1766354.3862471166</v>
      </c>
    </row>
    <row r="24" spans="1:12" x14ac:dyDescent="0.25">
      <c r="A24" s="427">
        <v>2035</v>
      </c>
      <c r="B24" s="424">
        <v>0</v>
      </c>
      <c r="C24" s="423">
        <f>'Project Costs'!$O$17</f>
        <v>2834480.2573411339</v>
      </c>
      <c r="D24" s="40">
        <f t="shared" si="0"/>
        <v>2834480.2573411339</v>
      </c>
      <c r="E24" s="41">
        <f t="shared" si="5"/>
        <v>897323.85975032358</v>
      </c>
      <c r="G24" s="41">
        <f t="shared" si="1"/>
        <v>0</v>
      </c>
      <c r="H24" s="41">
        <f t="shared" si="2"/>
        <v>897323.85975032358</v>
      </c>
      <c r="J24" s="41">
        <f t="shared" si="3"/>
        <v>0</v>
      </c>
      <c r="K24" s="41">
        <f t="shared" si="4"/>
        <v>1714907.1711137053</v>
      </c>
      <c r="L24" s="40">
        <f t="shared" si="7"/>
        <v>1714907.1711137053</v>
      </c>
    </row>
    <row r="25" spans="1:12" x14ac:dyDescent="0.25">
      <c r="A25" s="427">
        <v>2036</v>
      </c>
      <c r="B25" s="424">
        <v>0</v>
      </c>
      <c r="C25" s="423">
        <f>'Project Costs'!$O$17</f>
        <v>2834480.2573411339</v>
      </c>
      <c r="D25" s="40">
        <f t="shared" si="0"/>
        <v>2834480.2573411339</v>
      </c>
      <c r="E25" s="41">
        <f t="shared" si="5"/>
        <v>838620.42967319954</v>
      </c>
      <c r="G25" s="41">
        <f t="shared" si="1"/>
        <v>0</v>
      </c>
      <c r="H25" s="41">
        <f t="shared" si="2"/>
        <v>838620.42967319954</v>
      </c>
      <c r="J25" s="41">
        <f t="shared" si="3"/>
        <v>0</v>
      </c>
      <c r="K25" s="41">
        <f t="shared" si="4"/>
        <v>1664958.4185569955</v>
      </c>
      <c r="L25" s="40">
        <f t="shared" si="7"/>
        <v>1664958.4185569955</v>
      </c>
    </row>
    <row r="26" spans="1:12" x14ac:dyDescent="0.25">
      <c r="A26" s="427">
        <v>2037</v>
      </c>
      <c r="B26" s="424">
        <v>0</v>
      </c>
      <c r="C26" s="423">
        <f>'Project Costs'!$O$17</f>
        <v>2834480.2573411339</v>
      </c>
      <c r="D26" s="40">
        <f t="shared" si="0"/>
        <v>2834480.2573411339</v>
      </c>
      <c r="E26" s="41">
        <f t="shared" si="5"/>
        <v>783757.41090953222</v>
      </c>
      <c r="G26" s="41">
        <f t="shared" si="1"/>
        <v>0</v>
      </c>
      <c r="H26" s="41">
        <f t="shared" si="2"/>
        <v>783757.41090953222</v>
      </c>
      <c r="J26" s="41">
        <f t="shared" si="3"/>
        <v>0</v>
      </c>
      <c r="K26" s="41">
        <f t="shared" si="4"/>
        <v>1616464.484035918</v>
      </c>
      <c r="L26" s="40">
        <f t="shared" si="7"/>
        <v>1616464.484035918</v>
      </c>
    </row>
    <row r="27" spans="1:12" x14ac:dyDescent="0.25">
      <c r="A27" s="427">
        <v>2038</v>
      </c>
      <c r="B27" s="424">
        <v>0</v>
      </c>
      <c r="C27" s="423">
        <f>'Project Costs'!$O$17</f>
        <v>2834480.2573411339</v>
      </c>
      <c r="D27" s="40">
        <f t="shared" si="0"/>
        <v>2834480.2573411339</v>
      </c>
      <c r="E27" s="41">
        <f t="shared" si="5"/>
        <v>732483.56159769371</v>
      </c>
      <c r="G27" s="41">
        <f t="shared" si="1"/>
        <v>0</v>
      </c>
      <c r="H27" s="41">
        <f t="shared" si="2"/>
        <v>732483.56159769371</v>
      </c>
      <c r="J27" s="41">
        <f t="shared" si="3"/>
        <v>0</v>
      </c>
      <c r="K27" s="41">
        <f t="shared" si="4"/>
        <v>1569382.994209629</v>
      </c>
      <c r="L27" s="40">
        <f t="shared" si="7"/>
        <v>1569382.994209629</v>
      </c>
    </row>
    <row r="28" spans="1:12" x14ac:dyDescent="0.25">
      <c r="A28" s="427">
        <v>2039</v>
      </c>
      <c r="B28" s="424">
        <v>0</v>
      </c>
      <c r="C28" s="423">
        <f>'Project Costs'!$O$17</f>
        <v>2834480.2573411339</v>
      </c>
      <c r="D28" s="40">
        <f t="shared" si="0"/>
        <v>2834480.2573411339</v>
      </c>
      <c r="E28" s="41">
        <f t="shared" si="5"/>
        <v>684564.07625952689</v>
      </c>
      <c r="G28" s="41">
        <f t="shared" si="1"/>
        <v>0</v>
      </c>
      <c r="H28" s="41">
        <f t="shared" si="2"/>
        <v>684564.07625952689</v>
      </c>
      <c r="J28" s="41">
        <f t="shared" si="3"/>
        <v>0</v>
      </c>
      <c r="K28" s="41">
        <f t="shared" si="4"/>
        <v>1523672.8099122616</v>
      </c>
      <c r="L28" s="40">
        <f t="shared" si="7"/>
        <v>1523672.8099122616</v>
      </c>
    </row>
    <row r="29" spans="1:12" x14ac:dyDescent="0.25">
      <c r="A29" s="427">
        <v>2040</v>
      </c>
      <c r="B29" s="424">
        <v>0</v>
      </c>
      <c r="C29" s="423">
        <f>'Project Costs'!$O$17</f>
        <v>2834480.2573411339</v>
      </c>
      <c r="D29" s="40">
        <f t="shared" si="0"/>
        <v>2834480.2573411339</v>
      </c>
      <c r="E29" s="41">
        <f t="shared" si="5"/>
        <v>639779.51052292227</v>
      </c>
      <c r="G29" s="41">
        <f t="shared" si="1"/>
        <v>0</v>
      </c>
      <c r="H29" s="41">
        <f t="shared" si="2"/>
        <v>639779.51052292227</v>
      </c>
      <c r="J29" s="41">
        <f t="shared" si="3"/>
        <v>0</v>
      </c>
      <c r="K29" s="41">
        <f t="shared" si="4"/>
        <v>1479293.9902060789</v>
      </c>
      <c r="L29" s="40">
        <f t="shared" si="7"/>
        <v>1479293.9902060789</v>
      </c>
    </row>
    <row r="30" spans="1:12" x14ac:dyDescent="0.25">
      <c r="A30" s="427">
        <v>2041</v>
      </c>
      <c r="B30" s="424">
        <v>0</v>
      </c>
      <c r="C30" s="423">
        <f>'Project Costs'!$O$17</f>
        <v>2834480.2573411339</v>
      </c>
      <c r="D30" s="40">
        <f t="shared" si="0"/>
        <v>2834480.2573411339</v>
      </c>
      <c r="E30" s="41">
        <f t="shared" si="5"/>
        <v>597924.77618964703</v>
      </c>
      <c r="G30" s="41">
        <f t="shared" si="1"/>
        <v>0</v>
      </c>
      <c r="H30" s="41">
        <f t="shared" si="2"/>
        <v>597924.77618964703</v>
      </c>
      <c r="J30" s="41">
        <f t="shared" si="3"/>
        <v>0</v>
      </c>
      <c r="K30" s="41">
        <f t="shared" si="4"/>
        <v>1436207.75748163</v>
      </c>
      <c r="L30" s="40">
        <f t="shared" si="7"/>
        <v>1436207.75748163</v>
      </c>
    </row>
    <row r="31" spans="1:12" x14ac:dyDescent="0.25">
      <c r="A31" s="427">
        <v>2042</v>
      </c>
      <c r="B31" s="424">
        <v>0</v>
      </c>
      <c r="C31" s="423">
        <f>'Project Costs'!$O$17</f>
        <v>2834480.2573411339</v>
      </c>
      <c r="D31" s="40">
        <f t="shared" si="0"/>
        <v>2834480.2573411339</v>
      </c>
      <c r="E31" s="41">
        <f t="shared" si="5"/>
        <v>558808.202046399</v>
      </c>
      <c r="G31" s="41">
        <f t="shared" si="1"/>
        <v>0</v>
      </c>
      <c r="H31" s="41">
        <f t="shared" si="2"/>
        <v>558808.202046399</v>
      </c>
      <c r="J31" s="41">
        <f t="shared" si="3"/>
        <v>0</v>
      </c>
      <c r="K31" s="41">
        <f t="shared" si="4"/>
        <v>1394376.4635743983</v>
      </c>
      <c r="L31" s="40">
        <f t="shared" si="7"/>
        <v>1394376.4635743983</v>
      </c>
    </row>
    <row r="32" spans="1:12" x14ac:dyDescent="0.25">
      <c r="A32" s="427">
        <v>2043</v>
      </c>
      <c r="B32" s="424">
        <v>0</v>
      </c>
      <c r="C32" s="423">
        <f>'Project Costs'!$O$17</f>
        <v>2834480.2573411339</v>
      </c>
      <c r="D32" s="40">
        <f t="shared" si="0"/>
        <v>2834480.2573411339</v>
      </c>
      <c r="E32" s="41">
        <f t="shared" si="5"/>
        <v>522250.6561181299</v>
      </c>
      <c r="G32" s="41">
        <f t="shared" si="1"/>
        <v>0</v>
      </c>
      <c r="H32" s="41">
        <f t="shared" si="2"/>
        <v>522250.6561181299</v>
      </c>
      <c r="J32" s="41">
        <f t="shared" si="3"/>
        <v>0</v>
      </c>
      <c r="K32" s="41">
        <f t="shared" si="4"/>
        <v>1353763.5568683478</v>
      </c>
      <c r="L32" s="40">
        <f t="shared" si="7"/>
        <v>1353763.5568683478</v>
      </c>
    </row>
    <row r="33" spans="1:12" x14ac:dyDescent="0.25">
      <c r="A33" s="427">
        <v>2044</v>
      </c>
      <c r="B33" s="424">
        <v>0</v>
      </c>
      <c r="C33" s="423">
        <f>'Project Costs'!$O$17</f>
        <v>2834480.2573411339</v>
      </c>
      <c r="D33" s="40">
        <f t="shared" si="0"/>
        <v>2834480.2573411339</v>
      </c>
      <c r="E33" s="41">
        <f t="shared" si="5"/>
        <v>488084.72534404666</v>
      </c>
      <c r="G33" s="41">
        <f t="shared" si="1"/>
        <v>0</v>
      </c>
      <c r="H33" s="41">
        <f t="shared" si="2"/>
        <v>488084.72534404666</v>
      </c>
      <c r="J33" s="41">
        <f t="shared" si="3"/>
        <v>0</v>
      </c>
      <c r="K33" s="41">
        <f t="shared" si="4"/>
        <v>1314333.5503576191</v>
      </c>
      <c r="L33" s="40">
        <f t="shared" si="7"/>
        <v>1314333.5503576191</v>
      </c>
    </row>
    <row r="34" spans="1:12" x14ac:dyDescent="0.25">
      <c r="A34" s="427">
        <v>2045</v>
      </c>
      <c r="B34" s="424">
        <v>0</v>
      </c>
      <c r="C34" s="423">
        <f>'Project Costs'!$O$17</f>
        <v>2834480.2573411339</v>
      </c>
      <c r="D34" s="40">
        <f t="shared" si="0"/>
        <v>2834480.2573411339</v>
      </c>
      <c r="E34" s="41">
        <f t="shared" si="5"/>
        <v>456153.94891966973</v>
      </c>
      <c r="G34" s="41">
        <f t="shared" si="1"/>
        <v>0</v>
      </c>
      <c r="H34" s="41">
        <f t="shared" si="2"/>
        <v>456153.94891966973</v>
      </c>
      <c r="J34" s="41">
        <f t="shared" si="3"/>
        <v>0</v>
      </c>
      <c r="K34" s="41">
        <f t="shared" si="4"/>
        <v>1276051.9906384652</v>
      </c>
      <c r="L34" s="40">
        <f t="shared" si="7"/>
        <v>1276051.9906384652</v>
      </c>
    </row>
    <row r="35" spans="1:12" x14ac:dyDescent="0.25">
      <c r="A35" s="427">
        <v>2046</v>
      </c>
      <c r="B35" s="424">
        <v>0</v>
      </c>
      <c r="C35" s="423">
        <f>'Project Costs'!$O$17</f>
        <v>2834480.2573411339</v>
      </c>
      <c r="D35" s="40">
        <f t="shared" si="0"/>
        <v>2834480.2573411339</v>
      </c>
      <c r="E35" s="41">
        <f t="shared" si="5"/>
        <v>426312.10179408389</v>
      </c>
      <c r="G35" s="41">
        <f t="shared" si="1"/>
        <v>0</v>
      </c>
      <c r="H35" s="41">
        <f t="shared" si="2"/>
        <v>426312.10179408389</v>
      </c>
      <c r="J35" s="41">
        <f t="shared" si="3"/>
        <v>0</v>
      </c>
      <c r="K35" s="41">
        <f t="shared" si="4"/>
        <v>1238885.4278043353</v>
      </c>
      <c r="L35" s="40">
        <f t="shared" si="7"/>
        <v>1238885.4278043353</v>
      </c>
    </row>
    <row r="36" spans="1:12" x14ac:dyDescent="0.25">
      <c r="A36" s="427">
        <v>2047</v>
      </c>
      <c r="B36" s="424">
        <v>0</v>
      </c>
      <c r="C36" s="423">
        <f>'Project Costs'!$O$17</f>
        <v>2834480.2573411339</v>
      </c>
      <c r="D36" s="40">
        <f t="shared" si="0"/>
        <v>2834480.2573411339</v>
      </c>
      <c r="E36" s="41">
        <f t="shared" si="5"/>
        <v>398422.52504119993</v>
      </c>
      <c r="G36" s="41">
        <f t="shared" si="1"/>
        <v>0</v>
      </c>
      <c r="H36" s="41">
        <f t="shared" si="2"/>
        <v>398422.52504119993</v>
      </c>
      <c r="J36" s="41">
        <f t="shared" si="3"/>
        <v>0</v>
      </c>
      <c r="K36" s="41">
        <f t="shared" si="4"/>
        <v>1202801.3862178014</v>
      </c>
      <c r="L36" s="40">
        <f t="shared" si="7"/>
        <v>1202801.3862178014</v>
      </c>
    </row>
    <row r="37" spans="1:12" x14ac:dyDescent="0.25">
      <c r="A37" s="427">
        <v>2048</v>
      </c>
      <c r="B37" s="424">
        <v>0</v>
      </c>
      <c r="C37" s="423">
        <f>'Project Costs'!$O$17</f>
        <v>2834480.2573411339</v>
      </c>
      <c r="D37" s="40">
        <f t="shared" si="0"/>
        <v>2834480.2573411339</v>
      </c>
      <c r="E37" s="41">
        <f t="shared" si="5"/>
        <v>372357.5000385046</v>
      </c>
      <c r="G37" s="41">
        <f t="shared" si="1"/>
        <v>0</v>
      </c>
      <c r="H37" s="41">
        <f t="shared" si="2"/>
        <v>372357.5000385046</v>
      </c>
      <c r="J37" s="41">
        <f t="shared" si="3"/>
        <v>0</v>
      </c>
      <c r="K37" s="41">
        <f t="shared" si="4"/>
        <v>1167768.3361337876</v>
      </c>
      <c r="L37" s="40">
        <f t="shared" si="7"/>
        <v>1167768.3361337876</v>
      </c>
    </row>
    <row r="38" spans="1:12" x14ac:dyDescent="0.25">
      <c r="A38" s="427">
        <v>2049</v>
      </c>
      <c r="B38" s="424">
        <v>0</v>
      </c>
      <c r="C38" s="423">
        <f>'Project Costs'!$O$17</f>
        <v>2834480.2573411339</v>
      </c>
      <c r="D38" s="40">
        <f t="shared" si="0"/>
        <v>2834480.2573411339</v>
      </c>
      <c r="E38" s="41">
        <f t="shared" si="5"/>
        <v>347997.66358738742</v>
      </c>
      <c r="G38" s="41">
        <f t="shared" si="1"/>
        <v>0</v>
      </c>
      <c r="H38" s="41">
        <f t="shared" si="2"/>
        <v>347997.66358738742</v>
      </c>
      <c r="J38" s="41">
        <f t="shared" si="3"/>
        <v>0</v>
      </c>
      <c r="K38" s="41">
        <f t="shared" si="4"/>
        <v>1133755.6661493082</v>
      </c>
      <c r="L38" s="40">
        <f t="shared" si="7"/>
        <v>1133755.6661493082</v>
      </c>
    </row>
    <row r="39" spans="1:12" x14ac:dyDescent="0.25">
      <c r="A39" s="427">
        <v>2050</v>
      </c>
      <c r="B39" s="424">
        <v>0</v>
      </c>
      <c r="C39" s="423">
        <f>'Project Costs'!$O$17</f>
        <v>2834480.2573411339</v>
      </c>
      <c r="D39" s="40">
        <f t="shared" si="0"/>
        <v>2834480.2573411339</v>
      </c>
      <c r="E39" s="41">
        <f t="shared" si="5"/>
        <v>325231.46129662381</v>
      </c>
      <c r="G39" s="41">
        <f t="shared" si="1"/>
        <v>0</v>
      </c>
      <c r="H39" s="41">
        <f t="shared" si="2"/>
        <v>325231.46129662381</v>
      </c>
      <c r="J39" s="41">
        <f t="shared" si="3"/>
        <v>0</v>
      </c>
      <c r="K39" s="41">
        <f t="shared" si="4"/>
        <v>1100733.6564556393</v>
      </c>
      <c r="L39" s="40">
        <f t="shared" si="7"/>
        <v>1100733.6564556393</v>
      </c>
    </row>
    <row r="40" spans="1:12" x14ac:dyDescent="0.25">
      <c r="A40" s="427">
        <v>2051</v>
      </c>
      <c r="B40" s="424">
        <v>0</v>
      </c>
      <c r="C40" s="423">
        <f>'Project Costs'!$O$17</f>
        <v>2834480.2573411339</v>
      </c>
      <c r="D40" s="40">
        <f>B40+C40</f>
        <v>2834480.2573411339</v>
      </c>
      <c r="E40" s="41">
        <f t="shared" si="5"/>
        <v>303954.63672581664</v>
      </c>
      <c r="G40" s="40">
        <f t="shared" si="1"/>
        <v>0</v>
      </c>
      <c r="H40" s="41">
        <f t="shared" si="2"/>
        <v>303954.63672581664</v>
      </c>
      <c r="J40" s="41">
        <f t="shared" si="3"/>
        <v>0</v>
      </c>
      <c r="K40" s="41">
        <f t="shared" si="4"/>
        <v>1068673.4528695527</v>
      </c>
      <c r="L40" s="40">
        <f t="shared" si="7"/>
        <v>1068673.4528695527</v>
      </c>
    </row>
    <row r="41" spans="1:12" ht="15.75" thickBot="1" x14ac:dyDescent="0.3">
      <c r="A41" s="397" t="s">
        <v>2</v>
      </c>
      <c r="B41" s="426">
        <f>SUM(B3:B40)</f>
        <v>566896051.46822679</v>
      </c>
      <c r="C41" s="425">
        <f>SUM(C3:C40)</f>
        <v>85034407.720233992</v>
      </c>
      <c r="D41" s="398">
        <f>SUM(D3:D40)</f>
        <v>651930459.18846107</v>
      </c>
      <c r="E41" s="399">
        <f>SUM(E3:E40)</f>
        <v>535357901.33302385</v>
      </c>
      <c r="G41" s="459">
        <f>SUM(G3:G40)</f>
        <v>506646107.34115547</v>
      </c>
      <c r="H41" s="460">
        <f>SUM(H3:H40)</f>
        <v>28711793.991868373</v>
      </c>
      <c r="I41" s="65"/>
      <c r="J41" s="515">
        <f>SUM(J3:J40)</f>
        <v>538614554.69480014</v>
      </c>
      <c r="K41" s="516">
        <f>SUM(K3:K40)</f>
        <v>50842583.774579473</v>
      </c>
      <c r="L41" s="364">
        <f>SUM(L3:L40)</f>
        <v>589457138.46937978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6.5" x14ac:dyDescent="0.3"/>
  <cols>
    <col min="1" max="1" width="9.140625" style="334"/>
    <col min="2" max="2" width="35.42578125" style="334" customWidth="1"/>
    <col min="3" max="3" width="18.5703125" style="334" customWidth="1"/>
    <col min="4" max="4" width="19.42578125" style="334" customWidth="1"/>
    <col min="5" max="5" width="12.42578125" style="334" bestFit="1" customWidth="1"/>
    <col min="6" max="7" width="9.140625" style="334"/>
    <col min="8" max="8" width="32.7109375" style="334" customWidth="1"/>
    <col min="9" max="9" width="18" style="334" customWidth="1"/>
    <col min="10" max="10" width="2.42578125" style="334" customWidth="1"/>
    <col min="11" max="11" width="15.28515625" style="334" bestFit="1" customWidth="1"/>
    <col min="12" max="16384" width="9.140625" style="334"/>
  </cols>
  <sheetData>
    <row r="1" spans="1:11" ht="19.5" thickBot="1" x14ac:dyDescent="0.35">
      <c r="A1" s="429" t="s">
        <v>403</v>
      </c>
      <c r="H1" s="468" t="s">
        <v>50</v>
      </c>
      <c r="I1" s="468"/>
    </row>
    <row r="2" spans="1:11" x14ac:dyDescent="0.3">
      <c r="H2" s="402"/>
      <c r="I2" s="403" t="s">
        <v>404</v>
      </c>
      <c r="J2" s="453"/>
      <c r="K2" s="449" t="s">
        <v>405</v>
      </c>
    </row>
    <row r="3" spans="1:11" x14ac:dyDescent="0.3">
      <c r="H3" s="404" t="s">
        <v>438</v>
      </c>
      <c r="I3" s="405">
        <f>'Summary of Benefits'!L41/E4</f>
        <v>1152.1348427277242</v>
      </c>
      <c r="J3" s="454"/>
      <c r="K3" s="450">
        <f>'Summary of Benefits'!G41/E4</f>
        <v>2326.3722839462098</v>
      </c>
    </row>
    <row r="4" spans="1:11" x14ac:dyDescent="0.3">
      <c r="E4" s="420">
        <v>1000000</v>
      </c>
      <c r="H4" s="404" t="s">
        <v>439</v>
      </c>
      <c r="I4" s="405">
        <f>'Summary of Costs'!E41/E4</f>
        <v>535.35790133302385</v>
      </c>
      <c r="J4" s="453"/>
      <c r="K4" s="450">
        <f>'Summary of Costs'!L41/E4</f>
        <v>589.45713846937974</v>
      </c>
    </row>
    <row r="5" spans="1:11" ht="8.25" customHeight="1" x14ac:dyDescent="0.3">
      <c r="E5" s="420"/>
      <c r="H5" s="404"/>
      <c r="I5" s="405"/>
      <c r="J5" s="453"/>
      <c r="K5" s="450"/>
    </row>
    <row r="6" spans="1:11" x14ac:dyDescent="0.3">
      <c r="E6" s="420"/>
      <c r="H6" s="404" t="s">
        <v>406</v>
      </c>
      <c r="I6" s="447">
        <f>C24</f>
        <v>2.2173723087136779</v>
      </c>
      <c r="J6" s="453"/>
      <c r="K6" s="451">
        <f>('Summary of Benefits'!I41-'Summary of Costs'!K41)/'Summary of Costs'!J41</f>
        <v>4.2247831595658116</v>
      </c>
    </row>
    <row r="7" spans="1:11" x14ac:dyDescent="0.3">
      <c r="E7" s="420"/>
      <c r="H7" s="404" t="s">
        <v>437</v>
      </c>
      <c r="I7" s="405">
        <f>I3-I4</f>
        <v>616.77694139470032</v>
      </c>
      <c r="J7" s="453"/>
      <c r="K7" s="450">
        <f>K3-K4</f>
        <v>1736.91514547683</v>
      </c>
    </row>
    <row r="8" spans="1:11" ht="17.25" thickBot="1" x14ac:dyDescent="0.35">
      <c r="H8" s="407" t="s">
        <v>394</v>
      </c>
      <c r="I8" s="448">
        <f>C25</f>
        <v>0.12910578172627685</v>
      </c>
      <c r="J8" s="455"/>
      <c r="K8" s="452">
        <f>C25</f>
        <v>0.12910578172627685</v>
      </c>
    </row>
    <row r="9" spans="1:11" x14ac:dyDescent="0.3">
      <c r="B9" s="419" t="s">
        <v>396</v>
      </c>
    </row>
    <row r="10" spans="1:11" ht="15" customHeight="1" x14ac:dyDescent="0.3">
      <c r="I10" s="514"/>
    </row>
    <row r="11" spans="1:11" x14ac:dyDescent="0.3">
      <c r="B11" s="469" t="s">
        <v>385</v>
      </c>
      <c r="C11" s="471" t="s">
        <v>395</v>
      </c>
      <c r="D11" s="472"/>
      <c r="I11" s="406"/>
      <c r="K11" s="406"/>
    </row>
    <row r="12" spans="1:11" x14ac:dyDescent="0.3">
      <c r="B12" s="470"/>
      <c r="C12" s="408" t="s">
        <v>386</v>
      </c>
      <c r="D12" s="408" t="s">
        <v>387</v>
      </c>
    </row>
    <row r="13" spans="1:11" x14ac:dyDescent="0.3">
      <c r="B13" s="409" t="s">
        <v>388</v>
      </c>
      <c r="C13" s="410"/>
      <c r="D13" s="411"/>
    </row>
    <row r="14" spans="1:11" x14ac:dyDescent="0.3">
      <c r="B14" s="412" t="s">
        <v>91</v>
      </c>
      <c r="C14" s="413">
        <f>'Summary of Benefits'!N41/'BCA Results'!E4</f>
        <v>146.6581804748474</v>
      </c>
      <c r="D14" s="413">
        <f>'Summary of Benefits'!B41/$E$4</f>
        <v>539.33241645059695</v>
      </c>
    </row>
    <row r="15" spans="1:11" ht="15" customHeight="1" x14ac:dyDescent="0.3">
      <c r="B15" s="412" t="s">
        <v>92</v>
      </c>
      <c r="C15" s="413">
        <f>'Summary of Benefits'!O41/'BCA Results'!E4</f>
        <v>671.98997202468661</v>
      </c>
      <c r="D15" s="413">
        <f>'Summary of Benefits'!C41/'BCA Results'!$E$4</f>
        <v>2471.229182505785</v>
      </c>
    </row>
    <row r="16" spans="1:11" ht="14.25" customHeight="1" x14ac:dyDescent="0.3">
      <c r="B16" s="412" t="s">
        <v>418</v>
      </c>
      <c r="C16" s="413">
        <f>'Summary of Benefits'!P41/'BCA Results'!E4</f>
        <v>194.85349274560812</v>
      </c>
      <c r="D16" s="413">
        <f>'Summary of Benefits'!D41/'BCA Results'!$E$4</f>
        <v>715.74102318557016</v>
      </c>
    </row>
    <row r="17" spans="2:4" x14ac:dyDescent="0.3">
      <c r="B17" s="412" t="s">
        <v>0</v>
      </c>
      <c r="C17" s="413">
        <f>'Summary of Benefits'!Q41/'BCA Results'!E4</f>
        <v>138.63319748258229</v>
      </c>
      <c r="D17" s="413">
        <f>'Summary of Benefits'!E41/'BCA Results'!$E$4</f>
        <v>509.82070796505792</v>
      </c>
    </row>
    <row r="18" spans="2:4" x14ac:dyDescent="0.3">
      <c r="B18" s="414" t="s">
        <v>51</v>
      </c>
      <c r="C18" s="413">
        <f>'Summary of Benefits'!J41/'BCA Results'!E4</f>
        <v>1152.1348427277242</v>
      </c>
      <c r="D18" s="413">
        <f>SUM(D14:D17)</f>
        <v>4236.1233301070106</v>
      </c>
    </row>
    <row r="19" spans="2:4" x14ac:dyDescent="0.3">
      <c r="B19" s="473" t="s">
        <v>389</v>
      </c>
      <c r="C19" s="474"/>
      <c r="D19" s="475"/>
    </row>
    <row r="20" spans="2:4" x14ac:dyDescent="0.3">
      <c r="B20" s="412" t="s">
        <v>390</v>
      </c>
      <c r="C20" s="413">
        <f>'Summary of Costs'!G41/'BCA Results'!E4</f>
        <v>506.64610734115547</v>
      </c>
      <c r="D20" s="413">
        <f>'Project Costs'!O16/'BCA Results'!$E$4</f>
        <v>566.8960514682268</v>
      </c>
    </row>
    <row r="21" spans="2:4" x14ac:dyDescent="0.3">
      <c r="B21" s="412" t="s">
        <v>391</v>
      </c>
      <c r="C21" s="413">
        <f>'Summary of Costs'!H41/'BCA Results'!E4</f>
        <v>28.711793991868372</v>
      </c>
      <c r="D21" s="413">
        <f>('Project Costs'!O17*30)/'BCA Results'!$E$4</f>
        <v>85.034407720234015</v>
      </c>
    </row>
    <row r="22" spans="2:4" x14ac:dyDescent="0.3">
      <c r="B22" s="414" t="s">
        <v>392</v>
      </c>
      <c r="C22" s="413">
        <f>SUM(C20:C21)</f>
        <v>535.35790133302385</v>
      </c>
      <c r="D22" s="413">
        <f>SUM(D20:D21)</f>
        <v>651.93045918846087</v>
      </c>
    </row>
    <row r="23" spans="2:4" x14ac:dyDescent="0.3">
      <c r="B23" s="415" t="s">
        <v>393</v>
      </c>
      <c r="C23" s="416">
        <f>('Summary of Benefits'!L41-'Summary of Costs'!E41)/E4</f>
        <v>616.77694139470032</v>
      </c>
      <c r="D23" s="417" t="s">
        <v>397</v>
      </c>
    </row>
    <row r="24" spans="2:4" x14ac:dyDescent="0.3">
      <c r="B24" s="418" t="s">
        <v>419</v>
      </c>
      <c r="C24" s="478">
        <f>('Summary of Benefits'!L41-'Summary of Costs'!H41)/'Summary of Costs'!G41</f>
        <v>2.2173723087136779</v>
      </c>
      <c r="D24" s="479"/>
    </row>
    <row r="25" spans="2:4" x14ac:dyDescent="0.3">
      <c r="B25" s="418" t="s">
        <v>394</v>
      </c>
      <c r="C25" s="480">
        <f>IRR('Summary of Benefits'!S3:S40)</f>
        <v>0.12910578172627685</v>
      </c>
      <c r="D25" s="481"/>
    </row>
    <row r="26" spans="2:4" ht="19.5" customHeight="1" x14ac:dyDescent="0.3">
      <c r="B26" s="476" t="s">
        <v>420</v>
      </c>
      <c r="C26" s="476"/>
      <c r="D26" s="476"/>
    </row>
    <row r="27" spans="2:4" ht="19.5" customHeight="1" x14ac:dyDescent="0.3">
      <c r="B27" s="477"/>
      <c r="C27" s="477"/>
      <c r="D27" s="477"/>
    </row>
  </sheetData>
  <mergeCells count="7">
    <mergeCell ref="H1:I1"/>
    <mergeCell ref="B11:B12"/>
    <mergeCell ref="C11:D11"/>
    <mergeCell ref="B19:D19"/>
    <mergeCell ref="B26:D27"/>
    <mergeCell ref="C24:D24"/>
    <mergeCell ref="C25:D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7" sqref="C17"/>
    </sheetView>
  </sheetViews>
  <sheetFormatPr defaultColWidth="9.140625" defaultRowHeight="15" x14ac:dyDescent="0.25"/>
  <cols>
    <col min="1" max="1" width="23.42578125" style="80" customWidth="1"/>
    <col min="2" max="2" width="8.7109375" style="80" customWidth="1"/>
    <col min="3" max="3" width="27.42578125" style="80" customWidth="1"/>
    <col min="4" max="5" width="9.140625" style="80"/>
    <col min="6" max="6" width="29.7109375" style="80" customWidth="1"/>
    <col min="7" max="16384" width="9.140625" style="80"/>
  </cols>
  <sheetData>
    <row r="1" spans="1:7" x14ac:dyDescent="0.25">
      <c r="A1" s="225" t="s">
        <v>298</v>
      </c>
      <c r="B1" s="82"/>
      <c r="C1" s="82"/>
      <c r="D1" s="82"/>
      <c r="E1" s="82"/>
      <c r="F1" s="82"/>
      <c r="G1" s="82"/>
    </row>
    <row r="2" spans="1:7" x14ac:dyDescent="0.25">
      <c r="A2" s="82"/>
      <c r="B2" s="82"/>
      <c r="C2" s="82"/>
      <c r="D2" s="82"/>
      <c r="E2" s="82"/>
      <c r="F2" s="82"/>
      <c r="G2" s="82"/>
    </row>
    <row r="3" spans="1:7" ht="45" x14ac:dyDescent="0.25">
      <c r="A3" s="82"/>
      <c r="B3" s="351" t="s">
        <v>3</v>
      </c>
      <c r="C3" s="227" t="s">
        <v>313</v>
      </c>
      <c r="D3" s="83"/>
    </row>
    <row r="4" spans="1:7" x14ac:dyDescent="0.25">
      <c r="A4" s="82"/>
      <c r="B4" s="226">
        <v>2001</v>
      </c>
      <c r="C4" s="321">
        <v>1.3542000000000001</v>
      </c>
      <c r="D4" s="83"/>
    </row>
    <row r="5" spans="1:7" x14ac:dyDescent="0.25">
      <c r="A5" s="82"/>
      <c r="B5" s="228">
        <v>2002</v>
      </c>
      <c r="C5" s="322">
        <v>1.3338000000000001</v>
      </c>
      <c r="D5" s="83"/>
    </row>
    <row r="6" spans="1:7" x14ac:dyDescent="0.25">
      <c r="A6" s="82"/>
      <c r="B6" s="228">
        <v>2003</v>
      </c>
      <c r="C6" s="322">
        <v>1.3077000000000001</v>
      </c>
      <c r="D6" s="83"/>
    </row>
    <row r="7" spans="1:7" x14ac:dyDescent="0.25">
      <c r="A7" s="82"/>
      <c r="B7" s="228">
        <v>2004</v>
      </c>
      <c r="C7" s="322">
        <v>1.2726999999999999</v>
      </c>
      <c r="D7" s="83"/>
    </row>
    <row r="8" spans="1:7" x14ac:dyDescent="0.25">
      <c r="A8" s="82"/>
      <c r="B8" s="228">
        <v>2005</v>
      </c>
      <c r="C8" s="322">
        <v>1.2330000000000001</v>
      </c>
      <c r="D8" s="83"/>
    </row>
    <row r="9" spans="1:7" x14ac:dyDescent="0.25">
      <c r="A9" s="82"/>
      <c r="B9" s="228">
        <v>2006</v>
      </c>
      <c r="C9" s="322">
        <v>1.1961999999999999</v>
      </c>
      <c r="D9" s="83"/>
    </row>
    <row r="10" spans="1:7" x14ac:dyDescent="0.25">
      <c r="A10" s="82"/>
      <c r="B10" s="228">
        <v>2007</v>
      </c>
      <c r="C10" s="322">
        <v>1.1652</v>
      </c>
      <c r="D10" s="83"/>
    </row>
    <row r="11" spans="1:7" x14ac:dyDescent="0.25">
      <c r="A11" s="82"/>
      <c r="B11" s="228">
        <v>2008</v>
      </c>
      <c r="C11" s="322">
        <v>1.1428</v>
      </c>
      <c r="D11" s="83"/>
    </row>
    <row r="12" spans="1:7" x14ac:dyDescent="0.25">
      <c r="A12" s="82"/>
      <c r="B12" s="228">
        <v>2009</v>
      </c>
      <c r="C12" s="322">
        <v>1.1342000000000001</v>
      </c>
      <c r="D12" s="83"/>
    </row>
    <row r="13" spans="1:7" x14ac:dyDescent="0.25">
      <c r="A13" s="82"/>
      <c r="B13" s="228">
        <v>2010</v>
      </c>
      <c r="C13" s="322">
        <v>1.1205000000000001</v>
      </c>
      <c r="D13" s="83"/>
    </row>
    <row r="14" spans="1:7" x14ac:dyDescent="0.25">
      <c r="A14" s="82"/>
      <c r="B14" s="228">
        <v>2011</v>
      </c>
      <c r="C14" s="322">
        <v>1.0979000000000001</v>
      </c>
      <c r="D14" s="83"/>
    </row>
    <row r="15" spans="1:7" x14ac:dyDescent="0.25">
      <c r="A15" s="82"/>
      <c r="B15" s="228">
        <v>2012</v>
      </c>
      <c r="C15" s="322">
        <v>1.0780000000000001</v>
      </c>
      <c r="D15" s="83"/>
    </row>
    <row r="16" spans="1:7" x14ac:dyDescent="0.25">
      <c r="A16" s="82"/>
      <c r="B16" s="228">
        <v>2013</v>
      </c>
      <c r="C16" s="322">
        <v>1.0609</v>
      </c>
      <c r="D16" s="83"/>
    </row>
    <row r="17" spans="1:7" x14ac:dyDescent="0.25">
      <c r="A17" s="82"/>
      <c r="B17" s="228">
        <v>2014</v>
      </c>
      <c r="C17" s="322">
        <v>1.0422</v>
      </c>
      <c r="D17" s="83"/>
    </row>
    <row r="18" spans="1:7" x14ac:dyDescent="0.25">
      <c r="A18" s="82"/>
      <c r="B18" s="228">
        <v>2015</v>
      </c>
      <c r="C18" s="322">
        <v>1.0309999999999999</v>
      </c>
      <c r="D18" s="83"/>
    </row>
    <row r="19" spans="1:7" x14ac:dyDescent="0.25">
      <c r="A19" s="82"/>
      <c r="B19" s="228">
        <v>2016</v>
      </c>
      <c r="C19" s="322">
        <v>1.018</v>
      </c>
      <c r="D19" s="83"/>
    </row>
    <row r="20" spans="1:7" x14ac:dyDescent="0.25">
      <c r="A20" s="82"/>
      <c r="B20" s="229">
        <v>2017</v>
      </c>
      <c r="C20" s="323">
        <v>1</v>
      </c>
      <c r="D20" s="83"/>
    </row>
    <row r="21" spans="1:7" x14ac:dyDescent="0.25">
      <c r="A21" s="82"/>
      <c r="B21" s="83"/>
      <c r="C21" s="230"/>
      <c r="D21" s="83"/>
    </row>
    <row r="22" spans="1:7" x14ac:dyDescent="0.25">
      <c r="A22" s="82"/>
      <c r="B22" s="82"/>
      <c r="C22" s="82"/>
      <c r="D22" s="83"/>
    </row>
    <row r="23" spans="1:7" ht="14.45" customHeight="1" x14ac:dyDescent="0.25">
      <c r="A23" s="316" t="s">
        <v>55</v>
      </c>
      <c r="B23" s="317" t="str">
        <f>'Monetized Values and Factors'!B2</f>
        <v>Benefit-Cost Analysis Guidance for Discretionary Grant Programs - June 2018</v>
      </c>
      <c r="C23" s="234"/>
      <c r="D23" s="83"/>
    </row>
    <row r="24" spans="1:7" x14ac:dyDescent="0.25">
      <c r="A24" s="82"/>
      <c r="B24" s="233"/>
      <c r="C24" s="233"/>
      <c r="D24" s="82"/>
      <c r="E24" s="82"/>
      <c r="F24" s="82"/>
      <c r="G24" s="82"/>
    </row>
    <row r="25" spans="1:7" ht="15" customHeight="1" x14ac:dyDescent="0.25">
      <c r="B25" s="233"/>
      <c r="C25" s="233"/>
      <c r="D25" s="81"/>
    </row>
    <row r="26" spans="1:7" x14ac:dyDescent="0.25">
      <c r="B26" s="233"/>
      <c r="C26" s="233"/>
      <c r="D26" s="81"/>
    </row>
    <row r="27" spans="1:7" x14ac:dyDescent="0.25">
      <c r="D27" s="81"/>
    </row>
    <row r="28" spans="1:7" x14ac:dyDescent="0.25">
      <c r="A28" s="65" t="s">
        <v>376</v>
      </c>
      <c r="C28" s="350">
        <f>1/1.018</f>
        <v>0.98231827111984282</v>
      </c>
    </row>
    <row r="29" spans="1:7" x14ac:dyDescent="0.25">
      <c r="A29" s="349" t="s">
        <v>375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95"/>
  <sheetViews>
    <sheetView zoomScale="60" zoomScaleNormal="60" workbookViewId="0">
      <selection activeCell="AJ9" sqref="AJ9"/>
    </sheetView>
  </sheetViews>
  <sheetFormatPr defaultColWidth="9.140625" defaultRowHeight="15" x14ac:dyDescent="0.25"/>
  <cols>
    <col min="1" max="1" width="9.140625" style="3"/>
    <col min="2" max="2" width="15.28515625" style="3" customWidth="1"/>
    <col min="3" max="26" width="9.140625" style="3"/>
    <col min="27" max="27" width="10.140625" style="3" bestFit="1" customWidth="1"/>
    <col min="28" max="35" width="9.140625" style="3"/>
    <col min="36" max="36" width="10.140625" style="3" bestFit="1" customWidth="1"/>
    <col min="37" max="44" width="9.140625" style="3"/>
    <col min="45" max="45" width="9.85546875" style="3" bestFit="1" customWidth="1"/>
    <col min="46" max="53" width="9.140625" style="3"/>
    <col min="54" max="54" width="10.42578125" style="3" bestFit="1" customWidth="1"/>
    <col min="55" max="62" width="9.140625" style="3"/>
    <col min="63" max="63" width="10.140625" style="3" bestFit="1" customWidth="1"/>
    <col min="64" max="71" width="9.140625" style="3"/>
    <col min="72" max="72" width="10.42578125" style="3" bestFit="1" customWidth="1"/>
    <col min="73" max="16384" width="9.140625" style="3"/>
  </cols>
  <sheetData>
    <row r="2" spans="2:76" ht="18.75" x14ac:dyDescent="0.3">
      <c r="B2" s="247" t="s">
        <v>60</v>
      </c>
      <c r="C2" s="248"/>
      <c r="D2" s="248"/>
      <c r="E2" s="249"/>
      <c r="F2" s="248"/>
      <c r="G2" s="248"/>
      <c r="H2" s="248"/>
      <c r="I2" s="248"/>
      <c r="J2" s="248"/>
      <c r="K2" s="250"/>
      <c r="L2" s="250"/>
      <c r="M2" s="250"/>
      <c r="N2" s="248"/>
      <c r="O2" s="248"/>
      <c r="P2" s="248"/>
      <c r="Q2" s="248"/>
      <c r="R2" s="248"/>
      <c r="S2" s="248"/>
      <c r="T2" s="248"/>
      <c r="U2" s="248"/>
      <c r="V2" s="250"/>
    </row>
    <row r="3" spans="2:76" ht="15.75" thickBot="1" x14ac:dyDescent="0.3">
      <c r="B3" s="250"/>
      <c r="C3" s="248"/>
      <c r="D3" s="248"/>
      <c r="E3" s="248"/>
      <c r="F3" s="248"/>
      <c r="G3" s="248"/>
      <c r="H3" s="248"/>
      <c r="I3" s="248"/>
      <c r="J3" s="248"/>
      <c r="K3" s="250"/>
      <c r="L3" s="250"/>
      <c r="M3" s="250"/>
      <c r="N3" s="248"/>
      <c r="O3" s="248"/>
      <c r="P3" s="248"/>
      <c r="Q3" s="248"/>
      <c r="R3" s="248"/>
      <c r="S3" s="248"/>
      <c r="T3" s="248"/>
      <c r="U3" s="248"/>
      <c r="V3" s="250"/>
    </row>
    <row r="4" spans="2:76" ht="15.75" thickTop="1" x14ac:dyDescent="0.25">
      <c r="B4" s="251"/>
      <c r="C4" s="252"/>
      <c r="D4" s="252"/>
      <c r="E4" s="252"/>
      <c r="F4" s="252"/>
      <c r="G4" s="252"/>
      <c r="H4" s="252"/>
      <c r="I4" s="252"/>
      <c r="J4" s="252"/>
      <c r="K4" s="253"/>
      <c r="L4" s="250"/>
      <c r="M4" s="251"/>
      <c r="N4" s="252"/>
      <c r="O4" s="252"/>
      <c r="P4" s="252"/>
      <c r="Q4" s="252"/>
      <c r="R4" s="252"/>
      <c r="S4" s="252"/>
      <c r="T4" s="252"/>
      <c r="U4" s="252"/>
      <c r="V4" s="253"/>
    </row>
    <row r="5" spans="2:76" x14ac:dyDescent="0.25">
      <c r="B5" s="254"/>
      <c r="C5" s="255" t="s">
        <v>61</v>
      </c>
      <c r="D5" s="256"/>
      <c r="E5" s="256"/>
      <c r="F5" s="256"/>
      <c r="G5" s="256"/>
      <c r="H5" s="256"/>
      <c r="I5" s="256"/>
      <c r="J5" s="256"/>
      <c r="K5" s="257"/>
      <c r="L5" s="250"/>
      <c r="M5" s="254"/>
      <c r="N5" s="255" t="s">
        <v>61</v>
      </c>
      <c r="O5" s="256"/>
      <c r="P5" s="256"/>
      <c r="Q5" s="256"/>
      <c r="R5" s="256"/>
      <c r="S5" s="256"/>
      <c r="T5" s="256"/>
      <c r="U5" s="256"/>
      <c r="V5" s="257"/>
    </row>
    <row r="6" spans="2:76" x14ac:dyDescent="0.25">
      <c r="B6" s="254"/>
      <c r="C6" s="258" t="s">
        <v>299</v>
      </c>
      <c r="D6" s="256"/>
      <c r="E6" s="256"/>
      <c r="F6" s="256"/>
      <c r="G6" s="256"/>
      <c r="H6" s="256"/>
      <c r="I6" s="256"/>
      <c r="J6" s="256"/>
      <c r="K6" s="257"/>
      <c r="L6" s="250"/>
      <c r="M6" s="254"/>
      <c r="N6" s="258" t="s">
        <v>300</v>
      </c>
      <c r="O6" s="256"/>
      <c r="P6" s="256"/>
      <c r="Q6" s="256"/>
      <c r="R6" s="256"/>
      <c r="S6" s="256"/>
      <c r="T6" s="256"/>
      <c r="U6" s="256"/>
      <c r="V6" s="257"/>
    </row>
    <row r="7" spans="2:76" x14ac:dyDescent="0.25">
      <c r="B7" s="254"/>
      <c r="C7" s="259"/>
      <c r="D7" s="248"/>
      <c r="E7" s="248"/>
      <c r="F7" s="248"/>
      <c r="G7" s="248"/>
      <c r="H7" s="248"/>
      <c r="I7" s="248"/>
      <c r="J7" s="248"/>
      <c r="K7" s="257"/>
      <c r="L7" s="250"/>
      <c r="M7" s="254"/>
      <c r="N7" s="259"/>
      <c r="O7" s="248"/>
      <c r="P7" s="248"/>
      <c r="Q7" s="248"/>
      <c r="R7" s="248"/>
      <c r="S7" s="248"/>
      <c r="T7" s="248"/>
      <c r="U7" s="248"/>
      <c r="V7" s="257"/>
      <c r="Y7" s="260" t="s">
        <v>223</v>
      </c>
      <c r="AH7" s="260" t="s">
        <v>224</v>
      </c>
      <c r="AQ7" s="260" t="s">
        <v>225</v>
      </c>
      <c r="AZ7" s="260" t="s">
        <v>226</v>
      </c>
      <c r="BI7" s="260" t="s">
        <v>95</v>
      </c>
      <c r="BR7" s="260" t="s">
        <v>227</v>
      </c>
    </row>
    <row r="8" spans="2:76" x14ac:dyDescent="0.25">
      <c r="B8" s="254"/>
      <c r="C8" s="261" t="s">
        <v>62</v>
      </c>
      <c r="D8" s="261" t="s">
        <v>63</v>
      </c>
      <c r="E8" s="262" t="s">
        <v>57</v>
      </c>
      <c r="F8" s="263" t="s">
        <v>64</v>
      </c>
      <c r="G8" s="264" t="s">
        <v>65</v>
      </c>
      <c r="H8" s="264" t="s">
        <v>58</v>
      </c>
      <c r="I8" s="264" t="s">
        <v>66</v>
      </c>
      <c r="J8" s="265" t="s">
        <v>59</v>
      </c>
      <c r="K8" s="257"/>
      <c r="L8" s="250"/>
      <c r="M8" s="254"/>
      <c r="N8" s="261" t="s">
        <v>62</v>
      </c>
      <c r="O8" s="261" t="s">
        <v>63</v>
      </c>
      <c r="P8" s="262" t="s">
        <v>57</v>
      </c>
      <c r="Q8" s="263" t="s">
        <v>64</v>
      </c>
      <c r="R8" s="264" t="s">
        <v>65</v>
      </c>
      <c r="S8" s="264" t="s">
        <v>58</v>
      </c>
      <c r="T8" s="264" t="s">
        <v>66</v>
      </c>
      <c r="U8" s="265" t="s">
        <v>59</v>
      </c>
      <c r="V8" s="257"/>
      <c r="Y8" s="266"/>
      <c r="Z8" s="267" t="s">
        <v>57</v>
      </c>
      <c r="AA8" s="267" t="s">
        <v>64</v>
      </c>
      <c r="AB8" s="267" t="s">
        <v>65</v>
      </c>
      <c r="AC8" s="267" t="s">
        <v>58</v>
      </c>
      <c r="AD8" s="267" t="s">
        <v>66</v>
      </c>
      <c r="AE8" s="268" t="s">
        <v>59</v>
      </c>
      <c r="AF8" s="269"/>
      <c r="AH8" s="266"/>
      <c r="AI8" s="267" t="s">
        <v>57</v>
      </c>
      <c r="AJ8" s="267" t="s">
        <v>64</v>
      </c>
      <c r="AK8" s="267" t="s">
        <v>65</v>
      </c>
      <c r="AL8" s="267" t="s">
        <v>58</v>
      </c>
      <c r="AM8" s="267" t="s">
        <v>66</v>
      </c>
      <c r="AN8" s="268" t="s">
        <v>59</v>
      </c>
      <c r="AO8" s="269"/>
      <c r="AQ8" s="266"/>
      <c r="AR8" s="267" t="s">
        <v>57</v>
      </c>
      <c r="AS8" s="267" t="s">
        <v>64</v>
      </c>
      <c r="AT8" s="267" t="s">
        <v>65</v>
      </c>
      <c r="AU8" s="267" t="s">
        <v>58</v>
      </c>
      <c r="AV8" s="267" t="s">
        <v>66</v>
      </c>
      <c r="AW8" s="268" t="s">
        <v>59</v>
      </c>
      <c r="AX8" s="269"/>
      <c r="AZ8" s="266"/>
      <c r="BA8" s="267" t="s">
        <v>57</v>
      </c>
      <c r="BB8" s="267" t="s">
        <v>64</v>
      </c>
      <c r="BC8" s="267" t="s">
        <v>65</v>
      </c>
      <c r="BD8" s="267" t="s">
        <v>58</v>
      </c>
      <c r="BE8" s="267" t="s">
        <v>66</v>
      </c>
      <c r="BF8" s="268" t="s">
        <v>59</v>
      </c>
      <c r="BG8" s="269"/>
      <c r="BI8" s="266"/>
      <c r="BJ8" s="267" t="s">
        <v>57</v>
      </c>
      <c r="BK8" s="267" t="s">
        <v>64</v>
      </c>
      <c r="BL8" s="267" t="s">
        <v>65</v>
      </c>
      <c r="BM8" s="267" t="s">
        <v>58</v>
      </c>
      <c r="BN8" s="267" t="s">
        <v>66</v>
      </c>
      <c r="BO8" s="268" t="s">
        <v>59</v>
      </c>
      <c r="BP8" s="269"/>
      <c r="BR8" s="266"/>
      <c r="BS8" s="267" t="s">
        <v>57</v>
      </c>
      <c r="BT8" s="267" t="s">
        <v>64</v>
      </c>
      <c r="BU8" s="267" t="s">
        <v>65</v>
      </c>
      <c r="BV8" s="267" t="s">
        <v>58</v>
      </c>
      <c r="BW8" s="267" t="s">
        <v>66</v>
      </c>
      <c r="BX8" s="268" t="s">
        <v>59</v>
      </c>
    </row>
    <row r="9" spans="2:76" x14ac:dyDescent="0.25">
      <c r="B9" s="254"/>
      <c r="C9" s="270" t="s">
        <v>4</v>
      </c>
      <c r="D9" s="270">
        <v>0</v>
      </c>
      <c r="E9" s="271">
        <v>0.88400000000000001</v>
      </c>
      <c r="F9" s="272">
        <v>15.894299999999999</v>
      </c>
      <c r="G9" s="273">
        <v>0.16980000000000001</v>
      </c>
      <c r="H9" s="273">
        <v>4.0000000000000002E-4</v>
      </c>
      <c r="I9" s="273">
        <v>2.0000000000000001E-4</v>
      </c>
      <c r="J9" s="274">
        <v>7.46E-2</v>
      </c>
      <c r="K9" s="257"/>
      <c r="L9" s="250"/>
      <c r="M9" s="254"/>
      <c r="N9" s="275" t="s">
        <v>4</v>
      </c>
      <c r="O9" s="270">
        <v>0</v>
      </c>
      <c r="P9" s="271">
        <v>0.20150000000000001</v>
      </c>
      <c r="Q9" s="272">
        <v>9.6105</v>
      </c>
      <c r="R9" s="273">
        <v>0.16200000000000001</v>
      </c>
      <c r="S9" s="273">
        <v>2.0000000000000001E-4</v>
      </c>
      <c r="T9" s="273">
        <v>1E-4</v>
      </c>
      <c r="U9" s="274">
        <v>1.18E-2</v>
      </c>
      <c r="V9" s="257"/>
      <c r="Y9" s="266">
        <v>2016</v>
      </c>
      <c r="Z9" s="276">
        <f t="shared" ref="Z9:AE9" si="0">E58</f>
        <v>1.4326000000000001</v>
      </c>
      <c r="AA9" s="276">
        <f t="shared" si="0"/>
        <v>824.76199999999994</v>
      </c>
      <c r="AB9" s="276">
        <f t="shared" si="0"/>
        <v>2.2730999999999999</v>
      </c>
      <c r="AC9" s="276">
        <f t="shared" si="0"/>
        <v>3.2300000000000002E-2</v>
      </c>
      <c r="AD9" s="276">
        <f t="shared" si="0"/>
        <v>8.0000000000000002E-3</v>
      </c>
      <c r="AE9" s="277">
        <f t="shared" si="0"/>
        <v>8.4900000000000003E-2</v>
      </c>
      <c r="AF9" s="278"/>
      <c r="AH9" s="266">
        <v>2016</v>
      </c>
      <c r="AI9" s="276">
        <f t="shared" ref="AI9:AN9" si="1">E59</f>
        <v>1.4124000000000001</v>
      </c>
      <c r="AJ9" s="276">
        <f t="shared" si="1"/>
        <v>834.70690000000002</v>
      </c>
      <c r="AK9" s="276">
        <f t="shared" si="1"/>
        <v>2.3010000000000002</v>
      </c>
      <c r="AL9" s="276">
        <f t="shared" si="1"/>
        <v>3.3799999999999997E-2</v>
      </c>
      <c r="AM9" s="276">
        <f t="shared" si="1"/>
        <v>8.0999999999999996E-3</v>
      </c>
      <c r="AN9" s="277">
        <f t="shared" si="1"/>
        <v>8.4900000000000003E-2</v>
      </c>
      <c r="AO9" s="278"/>
      <c r="AQ9" s="266">
        <v>2016</v>
      </c>
      <c r="AR9" s="276">
        <f t="shared" ref="AR9:AW9" si="2">E70</f>
        <v>1.5544</v>
      </c>
      <c r="AS9" s="276">
        <f t="shared" si="2"/>
        <v>729.69200000000001</v>
      </c>
      <c r="AT9" s="276">
        <f t="shared" si="2"/>
        <v>1.2991999999999999</v>
      </c>
      <c r="AU9" s="276">
        <f t="shared" si="2"/>
        <v>1.9099999999999999E-2</v>
      </c>
      <c r="AV9" s="276">
        <f t="shared" si="2"/>
        <v>7.1999999999999998E-3</v>
      </c>
      <c r="AW9" s="277">
        <f t="shared" si="2"/>
        <v>7.1300000000000002E-2</v>
      </c>
      <c r="AX9" s="278"/>
      <c r="AZ9" s="266">
        <v>2016</v>
      </c>
      <c r="BA9" s="276">
        <f t="shared" ref="BA9:BF9" si="3">E71</f>
        <v>1.5251999999999999</v>
      </c>
      <c r="BB9" s="276">
        <f t="shared" si="3"/>
        <v>769.92759999999998</v>
      </c>
      <c r="BC9" s="276">
        <f t="shared" si="3"/>
        <v>1.462</v>
      </c>
      <c r="BD9" s="276">
        <f t="shared" si="3"/>
        <v>2.0299999999999999E-2</v>
      </c>
      <c r="BE9" s="276">
        <f t="shared" si="3"/>
        <v>7.6E-3</v>
      </c>
      <c r="BF9" s="277">
        <f t="shared" si="3"/>
        <v>7.3499999999999996E-2</v>
      </c>
      <c r="BG9" s="278"/>
      <c r="BI9" s="266">
        <v>2016</v>
      </c>
      <c r="BJ9" s="276">
        <f t="shared" ref="BJ9:BO9" si="4">E73</f>
        <v>1.4670000000000001</v>
      </c>
      <c r="BK9" s="276">
        <f t="shared" si="4"/>
        <v>850.39890000000003</v>
      </c>
      <c r="BL9" s="276">
        <f t="shared" si="4"/>
        <v>1.7874000000000001</v>
      </c>
      <c r="BM9" s="276">
        <f t="shared" si="4"/>
        <v>2.2599999999999999E-2</v>
      </c>
      <c r="BN9" s="276">
        <f t="shared" si="4"/>
        <v>8.3000000000000001E-3</v>
      </c>
      <c r="BO9" s="277">
        <f t="shared" si="4"/>
        <v>7.7799999999999994E-2</v>
      </c>
      <c r="BP9" s="278"/>
      <c r="BR9" s="266">
        <v>2016</v>
      </c>
      <c r="BS9" s="276">
        <f t="shared" ref="BS9:BX9" si="5">E74</f>
        <v>1.4378</v>
      </c>
      <c r="BT9" s="276">
        <f t="shared" si="5"/>
        <v>890.63459999999998</v>
      </c>
      <c r="BU9" s="276">
        <f t="shared" si="5"/>
        <v>1.9501999999999999</v>
      </c>
      <c r="BV9" s="276">
        <f t="shared" si="5"/>
        <v>2.3699999999999999E-2</v>
      </c>
      <c r="BW9" s="276">
        <f t="shared" si="5"/>
        <v>8.6999999999999994E-3</v>
      </c>
      <c r="BX9" s="277">
        <f t="shared" si="5"/>
        <v>0.08</v>
      </c>
    </row>
    <row r="10" spans="2:76" x14ac:dyDescent="0.25">
      <c r="B10" s="254"/>
      <c r="C10" s="270"/>
      <c r="D10" s="270">
        <v>5</v>
      </c>
      <c r="E10" s="271">
        <v>5.1981000000000002</v>
      </c>
      <c r="F10" s="272">
        <v>2078.7487000000001</v>
      </c>
      <c r="G10" s="273">
        <v>6.0007000000000001</v>
      </c>
      <c r="H10" s="273">
        <v>8.6599999999999996E-2</v>
      </c>
      <c r="I10" s="273">
        <v>1.9599999999999999E-2</v>
      </c>
      <c r="J10" s="274">
        <v>0.88629999999999998</v>
      </c>
      <c r="K10" s="257"/>
      <c r="L10" s="250"/>
      <c r="M10" s="254"/>
      <c r="N10" s="275"/>
      <c r="O10" s="270">
        <v>5</v>
      </c>
      <c r="P10" s="271">
        <v>3.5072000000000001</v>
      </c>
      <c r="Q10" s="272">
        <v>1907.1744000000001</v>
      </c>
      <c r="R10" s="273">
        <v>6.8606999999999996</v>
      </c>
      <c r="S10" s="273">
        <v>1.0999999999999999E-2</v>
      </c>
      <c r="T10" s="273">
        <v>1.6799999999999999E-2</v>
      </c>
      <c r="U10" s="274">
        <v>0.32090000000000002</v>
      </c>
      <c r="V10" s="257"/>
      <c r="Y10" s="279">
        <v>2017</v>
      </c>
      <c r="Z10" s="280">
        <f t="shared" ref="Z10:Z28" si="6">Z9*(1+Z$54)</f>
        <v>1.3329561709227822</v>
      </c>
      <c r="AA10" s="280">
        <f t="shared" ref="AA10:AA28" si="7">AA9*(1+AA$54)</f>
        <v>822.92074289217101</v>
      </c>
      <c r="AB10" s="280">
        <f t="shared" ref="AB10:AB28" si="8">AB9*(1+AB$54)</f>
        <v>2.0328003195738398</v>
      </c>
      <c r="AC10" s="280">
        <f t="shared" ref="AC10:AC28" si="9">AC9*(1+AC$54)</f>
        <v>2.8582505634818928E-2</v>
      </c>
      <c r="AD10" s="280">
        <f t="shared" ref="AD10:AD28" si="10">AD9*(1+AD$54)</f>
        <v>7.9795089697877585E-3</v>
      </c>
      <c r="AE10" s="281">
        <f t="shared" ref="AE10:AE28" si="11">AE9*(1+AE$54)</f>
        <v>7.8650809499687405E-2</v>
      </c>
      <c r="AF10" s="280"/>
      <c r="AH10" s="279">
        <v>2017</v>
      </c>
      <c r="AI10" s="280">
        <f t="shared" ref="AI10:AI28" si="12">AI9*(1+AI$54)</f>
        <v>1.3131060691885788</v>
      </c>
      <c r="AJ10" s="280">
        <f t="shared" ref="AJ10:AJ28" si="13">AJ9*(1+AJ$54)</f>
        <v>832.75856061636352</v>
      </c>
      <c r="AK10" s="280">
        <f t="shared" ref="AK10:AK28" si="14">AK9*(1+AK$54)</f>
        <v>2.0538868860509258</v>
      </c>
      <c r="AL10" s="280">
        <f t="shared" ref="AL10:AL28" si="15">AL9*(1+AL$54)</f>
        <v>2.9842057774327652E-2</v>
      </c>
      <c r="AM10" s="280">
        <f t="shared" ref="AM10:AM28" si="16">AM9*(1+AM$54)</f>
        <v>8.0795152347784612E-3</v>
      </c>
      <c r="AN10" s="281">
        <f t="shared" ref="AN10:AN28" si="17">AN9*(1+AN$54)</f>
        <v>7.8520545096218364E-2</v>
      </c>
      <c r="AO10" s="280"/>
      <c r="AQ10" s="279">
        <v>2017</v>
      </c>
      <c r="AR10" s="280">
        <f t="shared" ref="AR10:AR28" si="18">AR9*(1+AR$54)</f>
        <v>1.434748356318958</v>
      </c>
      <c r="AS10" s="280">
        <f t="shared" ref="AS10:AS28" si="19">AS9*(1+AS$54)</f>
        <v>722.94657503871406</v>
      </c>
      <c r="AT10" s="280">
        <f t="shared" ref="AT10:AT28" si="20">AT9*(1+AT$54)</f>
        <v>1.1617473342231504</v>
      </c>
      <c r="AU10" s="280">
        <f t="shared" ref="AU10:AU28" si="21">AU9*(1+AU$54)</f>
        <v>1.7103802129308433E-2</v>
      </c>
      <c r="AV10" s="280">
        <f t="shared" ref="AV10:AV28" si="22">AV9*(1+AV$54)</f>
        <v>7.1286693655813584E-3</v>
      </c>
      <c r="AW10" s="281">
        <f t="shared" ref="AW10:AW28" si="23">AW9*(1+AW$54)</f>
        <v>6.5355261095519979E-2</v>
      </c>
      <c r="AX10" s="280"/>
      <c r="AZ10" s="279">
        <v>2017</v>
      </c>
      <c r="BA10" s="280">
        <f t="shared" ref="BA10:BA28" si="24">BA9*(1+BA$54)</f>
        <v>1.4071943394937625</v>
      </c>
      <c r="BB10" s="280">
        <f t="shared" ref="BB10:BB28" si="25">BB9*(1+BB$54)</f>
        <v>763.39702526853591</v>
      </c>
      <c r="BC10" s="280">
        <f t="shared" ref="BC10:BC28" si="26">BC9*(1+BC$54)</f>
        <v>1.3057175827305625</v>
      </c>
      <c r="BD10" s="280">
        <f t="shared" ref="BD10:BD28" si="27">BD9*(1+BD$54)</f>
        <v>1.8165291443240129E-2</v>
      </c>
      <c r="BE10" s="280">
        <f t="shared" ref="BE10:BE28" si="28">BE9*(1+BE$54)</f>
        <v>7.5290458195972814E-3</v>
      </c>
      <c r="BF10" s="281">
        <f t="shared" ref="BF10:BF28" si="29">BF9*(1+BF$54)</f>
        <v>6.7478520854035856E-2</v>
      </c>
      <c r="BG10" s="280"/>
      <c r="BI10" s="279">
        <v>2017</v>
      </c>
      <c r="BJ10" s="280">
        <f t="shared" ref="BJ10:BJ28" si="30">BJ9*(1+BJ$54)</f>
        <v>1.3522456755278738</v>
      </c>
      <c r="BK10" s="280">
        <f t="shared" ref="BK10:BK28" si="31">BK9*(1+BK$54)</f>
        <v>844.2764338833515</v>
      </c>
      <c r="BL10" s="280">
        <f t="shared" ref="BL10:BL28" si="32">BL9*(1+BL$54)</f>
        <v>1.5934042915849949</v>
      </c>
      <c r="BM10" s="280">
        <f t="shared" ref="BM10:BM28" si="33">BM9*(1+BM$54)</f>
        <v>2.0283910452076562E-2</v>
      </c>
      <c r="BN10" s="280">
        <f t="shared" ref="BN10:BN28" si="34">BN9*(1+BN$54)</f>
        <v>8.2354456460786221E-3</v>
      </c>
      <c r="BO10" s="281">
        <f t="shared" ref="BO10:BO28" si="35">BO9*(1+BO$54)</f>
        <v>7.1653132277307963E-2</v>
      </c>
      <c r="BP10" s="280"/>
      <c r="BR10" s="279">
        <v>2017</v>
      </c>
      <c r="BS10" s="280">
        <f t="shared" ref="BS10:BS28" si="36">BS9*(1+BS$54)</f>
        <v>1.324651230158618</v>
      </c>
      <c r="BT10" s="280">
        <f t="shared" ref="BT10:BT28" si="37">BT9*(1+BT$54)</f>
        <v>884.70763245109788</v>
      </c>
      <c r="BU10" s="280">
        <f t="shared" ref="BU10:BU28" si="38">BU9*(1+BU$54)</f>
        <v>1.7373478742054076</v>
      </c>
      <c r="BV10" s="280">
        <f t="shared" ref="BV10:BV28" si="39">BV9*(1+BV$54)</f>
        <v>2.1260776248038901E-2</v>
      </c>
      <c r="BW10" s="280">
        <f t="shared" ref="BW10:BW28" si="40">BW9*(1+BW$54)</f>
        <v>8.6356762661948024E-3</v>
      </c>
      <c r="BX10" s="281">
        <f t="shared" ref="BX10:BX28" si="41">BX9*(1+BX$54)</f>
        <v>7.3791330986674522E-2</v>
      </c>
    </row>
    <row r="11" spans="2:76" x14ac:dyDescent="0.25">
      <c r="B11" s="254"/>
      <c r="C11" s="270"/>
      <c r="D11" s="270">
        <v>6</v>
      </c>
      <c r="E11" s="271">
        <v>4.9645999999999999</v>
      </c>
      <c r="F11" s="272">
        <v>2025.2270000000001</v>
      </c>
      <c r="G11" s="273">
        <v>5.9078999999999997</v>
      </c>
      <c r="H11" s="273">
        <v>8.6599999999999996E-2</v>
      </c>
      <c r="I11" s="273">
        <v>1.9099999999999999E-2</v>
      </c>
      <c r="J11" s="274">
        <v>0.8538</v>
      </c>
      <c r="K11" s="257"/>
      <c r="L11" s="250"/>
      <c r="M11" s="254"/>
      <c r="N11" s="275"/>
      <c r="O11" s="270">
        <v>6</v>
      </c>
      <c r="P11" s="271">
        <v>3.3250999999999999</v>
      </c>
      <c r="Q11" s="272">
        <v>1859.4917</v>
      </c>
      <c r="R11" s="273">
        <v>6.5674999999999999</v>
      </c>
      <c r="S11" s="273">
        <v>1.0500000000000001E-2</v>
      </c>
      <c r="T11" s="273">
        <v>1.6500000000000001E-2</v>
      </c>
      <c r="U11" s="274">
        <v>0.30640000000000001</v>
      </c>
      <c r="V11" s="257"/>
      <c r="Y11" s="279">
        <v>2018</v>
      </c>
      <c r="Z11" s="280">
        <f t="shared" si="6"/>
        <v>1.2402430221981886</v>
      </c>
      <c r="AA11" s="280">
        <f t="shared" si="7"/>
        <v>821.08359633712826</v>
      </c>
      <c r="AB11" s="280">
        <f t="shared" si="8"/>
        <v>1.8179038050501541</v>
      </c>
      <c r="AC11" s="280">
        <f t="shared" si="9"/>
        <v>2.529286775122154E-2</v>
      </c>
      <c r="AD11" s="280">
        <f t="shared" si="10"/>
        <v>7.9590704248654106E-3</v>
      </c>
      <c r="AE11" s="281">
        <f t="shared" si="11"/>
        <v>7.2861599940590327E-2</v>
      </c>
      <c r="AF11" s="280"/>
      <c r="AH11" s="279">
        <v>2018</v>
      </c>
      <c r="AI11" s="280">
        <f t="shared" si="12"/>
        <v>1.2207926571367038</v>
      </c>
      <c r="AJ11" s="280">
        <f t="shared" si="13"/>
        <v>830.81476896840979</v>
      </c>
      <c r="AK11" s="280">
        <f t="shared" si="14"/>
        <v>1.8333121863068094</v>
      </c>
      <c r="AL11" s="280">
        <f t="shared" si="15"/>
        <v>2.6347586159949987E-2</v>
      </c>
      <c r="AM11" s="280">
        <f t="shared" si="16"/>
        <v>8.059082275187316E-3</v>
      </c>
      <c r="AN11" s="281">
        <f t="shared" si="17"/>
        <v>7.2620447611392955E-2</v>
      </c>
      <c r="AO11" s="280"/>
      <c r="AQ11" s="279">
        <v>2018</v>
      </c>
      <c r="AR11" s="280">
        <f t="shared" si="18"/>
        <v>1.3243070290529799</v>
      </c>
      <c r="AS11" s="280">
        <f t="shared" si="19"/>
        <v>716.26350619193715</v>
      </c>
      <c r="AT11" s="280">
        <f t="shared" si="20"/>
        <v>1.0388368754422694</v>
      </c>
      <c r="AU11" s="280">
        <f t="shared" si="21"/>
        <v>1.5316232841808154E-2</v>
      </c>
      <c r="AV11" s="280">
        <f t="shared" si="22"/>
        <v>7.0580454060802959E-3</v>
      </c>
      <c r="AW11" s="281">
        <f t="shared" si="23"/>
        <v>5.9906173251943716E-2</v>
      </c>
      <c r="AX11" s="280"/>
      <c r="AZ11" s="279">
        <v>2018</v>
      </c>
      <c r="BA11" s="280">
        <f t="shared" si="24"/>
        <v>1.2983188493989553</v>
      </c>
      <c r="BB11" s="280">
        <f t="shared" si="25"/>
        <v>756.92184328610858</v>
      </c>
      <c r="BC11" s="280">
        <f t="shared" si="26"/>
        <v>1.1661411804731487</v>
      </c>
      <c r="BD11" s="280">
        <f t="shared" si="27"/>
        <v>1.6255064690534636E-2</v>
      </c>
      <c r="BE11" s="280">
        <f t="shared" si="28"/>
        <v>7.4587540728414869E-3</v>
      </c>
      <c r="BF11" s="281">
        <f t="shared" si="29"/>
        <v>6.1950350702701384E-2</v>
      </c>
      <c r="BG11" s="280"/>
      <c r="BI11" s="279">
        <v>2018</v>
      </c>
      <c r="BJ11" s="280">
        <f t="shared" si="30"/>
        <v>1.2464678711546253</v>
      </c>
      <c r="BK11" s="280">
        <f t="shared" si="31"/>
        <v>838.19804660000045</v>
      </c>
      <c r="BL11" s="280">
        <f t="shared" si="32"/>
        <v>1.4204639344531047</v>
      </c>
      <c r="BM11" s="280">
        <f t="shared" si="33"/>
        <v>1.8205178018931897E-2</v>
      </c>
      <c r="BN11" s="280">
        <f t="shared" si="34"/>
        <v>8.1713933722307626E-3</v>
      </c>
      <c r="BO11" s="281">
        <f t="shared" si="35"/>
        <v>6.5991919860532031E-2</v>
      </c>
      <c r="BP11" s="280"/>
      <c r="BR11" s="279">
        <v>2018</v>
      </c>
      <c r="BS11" s="280">
        <f t="shared" si="36"/>
        <v>1.2204067892340658</v>
      </c>
      <c r="BT11" s="280">
        <f t="shared" si="37"/>
        <v>878.8201075022539</v>
      </c>
      <c r="BU11" s="280">
        <f t="shared" si="38"/>
        <v>1.5477272259286479</v>
      </c>
      <c r="BV11" s="280">
        <f t="shared" si="39"/>
        <v>1.9072599437517934E-2</v>
      </c>
      <c r="BW11" s="280">
        <f t="shared" si="40"/>
        <v>8.5718281120138167E-3</v>
      </c>
      <c r="BX11" s="281">
        <f t="shared" si="41"/>
        <v>6.8064506609811892E-2</v>
      </c>
    </row>
    <row r="12" spans="2:76" x14ac:dyDescent="0.25">
      <c r="B12" s="254"/>
      <c r="C12" s="270"/>
      <c r="D12" s="270">
        <v>7</v>
      </c>
      <c r="E12" s="271">
        <v>4.7312000000000003</v>
      </c>
      <c r="F12" s="272">
        <v>1971.7054000000001</v>
      </c>
      <c r="G12" s="273">
        <v>5.8151000000000002</v>
      </c>
      <c r="H12" s="273">
        <v>8.6699999999999999E-2</v>
      </c>
      <c r="I12" s="273">
        <v>1.8599999999999998E-2</v>
      </c>
      <c r="J12" s="274">
        <v>0.82130000000000003</v>
      </c>
      <c r="K12" s="257"/>
      <c r="L12" s="250"/>
      <c r="M12" s="254"/>
      <c r="N12" s="275"/>
      <c r="O12" s="270">
        <v>7</v>
      </c>
      <c r="P12" s="271">
        <v>3.1431</v>
      </c>
      <c r="Q12" s="272">
        <v>1811.8090999999999</v>
      </c>
      <c r="R12" s="273">
        <v>6.2744</v>
      </c>
      <c r="S12" s="273">
        <v>1.01E-2</v>
      </c>
      <c r="T12" s="273">
        <v>1.61E-2</v>
      </c>
      <c r="U12" s="274">
        <v>0.29189999999999999</v>
      </c>
      <c r="V12" s="257"/>
      <c r="Y12" s="279">
        <v>2019</v>
      </c>
      <c r="Z12" s="280">
        <f t="shared" si="6"/>
        <v>1.1539784935662407</v>
      </c>
      <c r="AA12" s="280">
        <f t="shared" si="7"/>
        <v>819.2505511581827</v>
      </c>
      <c r="AB12" s="280">
        <f>AB11*(1+AB$54)</f>
        <v>1.6257249728830465</v>
      </c>
      <c r="AC12" s="280">
        <f t="shared" si="9"/>
        <v>2.2381843189474289E-2</v>
      </c>
      <c r="AD12" s="280">
        <f t="shared" si="10"/>
        <v>7.93868423079825E-3</v>
      </c>
      <c r="AE12" s="281">
        <f t="shared" si="11"/>
        <v>6.7498513742871677E-2</v>
      </c>
      <c r="AF12" s="280"/>
      <c r="AH12" s="279">
        <v>2019</v>
      </c>
      <c r="AI12" s="280">
        <f t="shared" si="12"/>
        <v>1.1349690224490636</v>
      </c>
      <c r="AJ12" s="280">
        <f t="shared" si="13"/>
        <v>828.87551444099665</v>
      </c>
      <c r="AK12" s="280">
        <f t="shared" si="14"/>
        <v>1.6364258398491556</v>
      </c>
      <c r="AL12" s="280">
        <f t="shared" si="15"/>
        <v>2.3262313266251573E-2</v>
      </c>
      <c r="AM12" s="280">
        <f t="shared" si="16"/>
        <v>8.0387009902109854E-3</v>
      </c>
      <c r="AN12" s="281">
        <f t="shared" si="17"/>
        <v>6.716368824002289E-2</v>
      </c>
      <c r="AO12" s="280"/>
      <c r="AQ12" s="279">
        <v>2019</v>
      </c>
      <c r="AR12" s="280">
        <f t="shared" si="18"/>
        <v>1.2223670440011616</v>
      </c>
      <c r="AS12" s="280">
        <f t="shared" si="19"/>
        <v>709.64221702674786</v>
      </c>
      <c r="AT12" s="280">
        <f t="shared" si="20"/>
        <v>0.92893008831416524</v>
      </c>
      <c r="AU12" s="280">
        <f t="shared" si="21"/>
        <v>1.3715487743073407E-2</v>
      </c>
      <c r="AV12" s="280">
        <f t="shared" si="22"/>
        <v>6.9881211204453949E-3</v>
      </c>
      <c r="AW12" s="281">
        <f t="shared" si="23"/>
        <v>5.4911410857142171E-2</v>
      </c>
      <c r="AX12" s="280"/>
      <c r="AZ12" s="279">
        <v>2019</v>
      </c>
      <c r="BA12" s="280">
        <f t="shared" si="24"/>
        <v>1.1978671228247211</v>
      </c>
      <c r="BB12" s="280">
        <f t="shared" si="25"/>
        <v>750.50158420790763</v>
      </c>
      <c r="BC12" s="280">
        <f t="shared" si="26"/>
        <v>1.0414849817304819</v>
      </c>
      <c r="BD12" s="280">
        <f t="shared" si="27"/>
        <v>1.4545713671541064E-2</v>
      </c>
      <c r="BE12" s="280">
        <f t="shared" si="28"/>
        <v>7.3891185752014994E-3</v>
      </c>
      <c r="BF12" s="281">
        <f t="shared" si="29"/>
        <v>5.6875075262681228E-2</v>
      </c>
      <c r="BG12" s="280"/>
      <c r="BI12" s="279">
        <v>2019</v>
      </c>
      <c r="BJ12" s="280">
        <f t="shared" si="30"/>
        <v>1.1489644093069371</v>
      </c>
      <c r="BK12" s="280">
        <f t="shared" si="31"/>
        <v>832.16342080338961</v>
      </c>
      <c r="BL12" s="280">
        <f t="shared" si="32"/>
        <v>1.2662936831147387</v>
      </c>
      <c r="BM12" s="280">
        <f t="shared" si="33"/>
        <v>1.6339477907085277E-2</v>
      </c>
      <c r="BN12" s="280">
        <f t="shared" si="34"/>
        <v>8.1078392734618733E-3</v>
      </c>
      <c r="BO12" s="281">
        <f t="shared" si="35"/>
        <v>6.077799181234201E-2</v>
      </c>
      <c r="BP12" s="280"/>
      <c r="BR12" s="279">
        <v>2019</v>
      </c>
      <c r="BS12" s="280">
        <f t="shared" si="36"/>
        <v>1.1243659442570832</v>
      </c>
      <c r="BT12" s="280">
        <f t="shared" si="37"/>
        <v>872.97176267207487</v>
      </c>
      <c r="BU12" s="280">
        <f t="shared" si="38"/>
        <v>1.378802484779494</v>
      </c>
      <c r="BV12" s="280">
        <f t="shared" si="39"/>
        <v>1.7109631607997527E-2</v>
      </c>
      <c r="BW12" s="280">
        <f t="shared" si="40"/>
        <v>8.5084520212435778E-3</v>
      </c>
      <c r="BX12" s="281">
        <f t="shared" si="41"/>
        <v>6.2782131696116572E-2</v>
      </c>
    </row>
    <row r="13" spans="2:76" x14ac:dyDescent="0.25">
      <c r="B13" s="254"/>
      <c r="C13" s="270"/>
      <c r="D13" s="270">
        <v>8</v>
      </c>
      <c r="E13" s="271">
        <v>4.4977</v>
      </c>
      <c r="F13" s="272">
        <v>1918.1838</v>
      </c>
      <c r="G13" s="273">
        <v>5.7222999999999997</v>
      </c>
      <c r="H13" s="273">
        <v>8.6800000000000002E-2</v>
      </c>
      <c r="I13" s="273">
        <v>1.8100000000000002E-2</v>
      </c>
      <c r="J13" s="274">
        <v>0.78879999999999995</v>
      </c>
      <c r="K13" s="257"/>
      <c r="L13" s="250"/>
      <c r="M13" s="254"/>
      <c r="N13" s="275"/>
      <c r="O13" s="270">
        <v>8</v>
      </c>
      <c r="P13" s="271">
        <v>2.9609999999999999</v>
      </c>
      <c r="Q13" s="272">
        <v>1764.1265000000001</v>
      </c>
      <c r="R13" s="273">
        <v>5.9812000000000003</v>
      </c>
      <c r="S13" s="273">
        <v>9.5999999999999992E-3</v>
      </c>
      <c r="T13" s="273">
        <v>1.5699999999999999E-2</v>
      </c>
      <c r="U13" s="274">
        <v>0.27739999999999998</v>
      </c>
      <c r="V13" s="257"/>
      <c r="Y13" s="279">
        <v>2020</v>
      </c>
      <c r="Z13" s="280">
        <f t="shared" si="6"/>
        <v>1.0737140542449368</v>
      </c>
      <c r="AA13" s="280">
        <f t="shared" si="7"/>
        <v>817.42159819913172</v>
      </c>
      <c r="AB13" s="280">
        <f t="shared" si="8"/>
        <v>1.4538622341365666</v>
      </c>
      <c r="AC13" s="280">
        <f t="shared" si="9"/>
        <v>1.9805856318290477E-2</v>
      </c>
      <c r="AD13" s="280">
        <f t="shared" si="10"/>
        <v>7.9183502534959076E-3</v>
      </c>
      <c r="AE13" s="281">
        <f t="shared" si="11"/>
        <v>6.2530185464106394E-2</v>
      </c>
      <c r="AF13" s="280"/>
      <c r="AH13" s="279">
        <v>2020</v>
      </c>
      <c r="AI13" s="280">
        <f t="shared" si="12"/>
        <v>1.055178923618588</v>
      </c>
      <c r="AJ13" s="280">
        <f t="shared" si="13"/>
        <v>826.94078644375907</v>
      </c>
      <c r="AK13" s="280">
        <f t="shared" si="14"/>
        <v>1.4606838646071503</v>
      </c>
      <c r="AL13" s="280">
        <f t="shared" si="15"/>
        <v>2.0538322380354676E-2</v>
      </c>
      <c r="AM13" s="280">
        <f t="shared" si="16"/>
        <v>8.0183712491652299E-3</v>
      </c>
      <c r="AN13" s="281">
        <f t="shared" si="17"/>
        <v>6.2116954196455451E-2</v>
      </c>
      <c r="AO13" s="280"/>
      <c r="AQ13" s="279">
        <v>2020</v>
      </c>
      <c r="AR13" s="280">
        <f t="shared" si="18"/>
        <v>1.1282740010287764</v>
      </c>
      <c r="AS13" s="280">
        <f t="shared" si="19"/>
        <v>703.08213643889087</v>
      </c>
      <c r="AT13" s="280">
        <f t="shared" si="20"/>
        <v>0.83065121134440978</v>
      </c>
      <c r="AU13" s="280">
        <f t="shared" si="21"/>
        <v>1.2282041280862967E-2</v>
      </c>
      <c r="AV13" s="280">
        <f t="shared" si="22"/>
        <v>6.9188895769848845E-3</v>
      </c>
      <c r="AW13" s="281">
        <f t="shared" si="23"/>
        <v>5.0333093880671767E-2</v>
      </c>
      <c r="AX13" s="280"/>
      <c r="AZ13" s="279">
        <v>2020</v>
      </c>
      <c r="BA13" s="280">
        <f t="shared" si="24"/>
        <v>1.1051874080150976</v>
      </c>
      <c r="BB13" s="280">
        <f t="shared" si="25"/>
        <v>744.13578217437623</v>
      </c>
      <c r="BC13" s="280">
        <f t="shared" si="26"/>
        <v>0.93015407167941788</v>
      </c>
      <c r="BD13" s="280">
        <f t="shared" si="27"/>
        <v>1.3016114684407186E-2</v>
      </c>
      <c r="BE13" s="280">
        <f t="shared" si="28"/>
        <v>7.3201331998854566E-3</v>
      </c>
      <c r="BF13" s="281">
        <f t="shared" si="29"/>
        <v>5.221559118622713E-2</v>
      </c>
      <c r="BG13" s="280"/>
      <c r="BI13" s="279">
        <v>2020</v>
      </c>
      <c r="BJ13" s="280">
        <f t="shared" si="30"/>
        <v>1.0590880394142763</v>
      </c>
      <c r="BK13" s="280">
        <f t="shared" si="31"/>
        <v>826.17224143170517</v>
      </c>
      <c r="BL13" s="280">
        <f t="shared" si="32"/>
        <v>1.1288563215184033</v>
      </c>
      <c r="BM13" s="280">
        <f t="shared" si="33"/>
        <v>1.4664978172610671E-2</v>
      </c>
      <c r="BN13" s="280">
        <f t="shared" si="34"/>
        <v>8.0447794751490175E-3</v>
      </c>
      <c r="BO13" s="281">
        <f t="shared" si="35"/>
        <v>5.5976008828777409E-2</v>
      </c>
      <c r="BP13" s="280"/>
      <c r="BR13" s="279">
        <v>2020</v>
      </c>
      <c r="BS13" s="280">
        <f t="shared" si="36"/>
        <v>1.0358831069749628</v>
      </c>
      <c r="BT13" s="280">
        <f t="shared" si="37"/>
        <v>867.16233722592074</v>
      </c>
      <c r="BU13" s="280">
        <f t="shared" si="38"/>
        <v>1.2283148220084033</v>
      </c>
      <c r="BV13" s="280">
        <f t="shared" si="39"/>
        <v>1.5348694063460315E-2</v>
      </c>
      <c r="BW13" s="280">
        <f t="shared" si="40"/>
        <v>8.4455445036678584E-3</v>
      </c>
      <c r="BX13" s="281">
        <f t="shared" si="41"/>
        <v>5.7909713250464095E-2</v>
      </c>
    </row>
    <row r="14" spans="2:76" x14ac:dyDescent="0.25">
      <c r="B14" s="254"/>
      <c r="C14" s="270"/>
      <c r="D14" s="270">
        <v>9</v>
      </c>
      <c r="E14" s="271">
        <v>4.2641999999999998</v>
      </c>
      <c r="F14" s="272">
        <v>1864.6622</v>
      </c>
      <c r="G14" s="273">
        <v>5.6295000000000002</v>
      </c>
      <c r="H14" s="273">
        <v>8.6900000000000005E-2</v>
      </c>
      <c r="I14" s="273">
        <v>1.7600000000000001E-2</v>
      </c>
      <c r="J14" s="274">
        <v>0.75629999999999997</v>
      </c>
      <c r="K14" s="257"/>
      <c r="L14" s="250"/>
      <c r="M14" s="254"/>
      <c r="N14" s="275"/>
      <c r="O14" s="270">
        <v>9</v>
      </c>
      <c r="P14" s="271">
        <v>2.7789999999999999</v>
      </c>
      <c r="Q14" s="272">
        <v>1716.4439</v>
      </c>
      <c r="R14" s="273">
        <v>5.6879999999999997</v>
      </c>
      <c r="S14" s="273">
        <v>9.1999999999999998E-3</v>
      </c>
      <c r="T14" s="273">
        <v>1.5299999999999999E-2</v>
      </c>
      <c r="U14" s="274">
        <v>0.26290000000000002</v>
      </c>
      <c r="V14" s="257"/>
      <c r="Y14" s="279">
        <v>2021</v>
      </c>
      <c r="Z14" s="280">
        <f t="shared" si="6"/>
        <v>0.99903237080295082</v>
      </c>
      <c r="AA14" s="280">
        <f t="shared" si="7"/>
        <v>815.59672832421381</v>
      </c>
      <c r="AB14" s="280">
        <f t="shared" si="8"/>
        <v>1.3001678827016627</v>
      </c>
      <c r="AC14" s="280">
        <f t="shared" si="9"/>
        <v>1.7526346743651753E-2</v>
      </c>
      <c r="AD14" s="280">
        <f t="shared" si="10"/>
        <v>7.8980683592114707E-3</v>
      </c>
      <c r="AE14" s="281">
        <f t="shared" si="11"/>
        <v>5.792755836180865E-2</v>
      </c>
      <c r="AF14" s="280"/>
      <c r="AH14" s="279">
        <v>2021</v>
      </c>
      <c r="AI14" s="280">
        <f t="shared" si="12"/>
        <v>0.98099819363030283</v>
      </c>
      <c r="AJ14" s="280">
        <f t="shared" si="13"/>
        <v>825.01057441105183</v>
      </c>
      <c r="AK14" s="280">
        <f t="shared" si="14"/>
        <v>1.3038154863897486</v>
      </c>
      <c r="AL14" s="280">
        <f t="shared" si="15"/>
        <v>1.8133307782908607E-2</v>
      </c>
      <c r="AM14" s="280">
        <f t="shared" si="16"/>
        <v>7.9980929216963061E-3</v>
      </c>
      <c r="AN14" s="281">
        <f t="shared" si="17"/>
        <v>5.7449435844788108E-2</v>
      </c>
      <c r="AO14" s="280"/>
      <c r="AQ14" s="279">
        <v>2021</v>
      </c>
      <c r="AR14" s="280">
        <f t="shared" si="18"/>
        <v>1.0414238731687155</v>
      </c>
      <c r="AS14" s="280">
        <f t="shared" si="19"/>
        <v>696.58269860351766</v>
      </c>
      <c r="AT14" s="280">
        <f t="shared" si="20"/>
        <v>0.74277003575169243</v>
      </c>
      <c r="AU14" s="280">
        <f t="shared" si="21"/>
        <v>1.0998408576538121E-2</v>
      </c>
      <c r="AV14" s="280">
        <f t="shared" si="22"/>
        <v>6.8503439126794876E-3</v>
      </c>
      <c r="AW14" s="281">
        <f t="shared" si="23"/>
        <v>4.6136500593501009E-2</v>
      </c>
      <c r="AX14" s="280"/>
      <c r="AZ14" s="279">
        <v>2021</v>
      </c>
      <c r="BA14" s="280">
        <f t="shared" si="24"/>
        <v>1.0196783796476716</v>
      </c>
      <c r="BB14" s="280">
        <f t="shared" si="25"/>
        <v>737.82397527740795</v>
      </c>
      <c r="BC14" s="280">
        <f t="shared" si="26"/>
        <v>0.83072402601931594</v>
      </c>
      <c r="BD14" s="280">
        <f t="shared" si="27"/>
        <v>1.1647365354723846E-2</v>
      </c>
      <c r="BE14" s="280">
        <f t="shared" si="28"/>
        <v>7.2517918773016936E-3</v>
      </c>
      <c r="BF14" s="281">
        <f t="shared" si="29"/>
        <v>4.7937834813137938E-2</v>
      </c>
      <c r="BG14" s="280"/>
      <c r="BI14" s="279">
        <v>2021</v>
      </c>
      <c r="BJ14" s="280">
        <f t="shared" si="30"/>
        <v>0.97624214130964504</v>
      </c>
      <c r="BK14" s="280">
        <f t="shared" si="31"/>
        <v>820.22419569142824</v>
      </c>
      <c r="BL14" s="280">
        <f t="shared" si="32"/>
        <v>1.0063357431410287</v>
      </c>
      <c r="BM14" s="280">
        <f t="shared" si="33"/>
        <v>1.3162084249331516E-2</v>
      </c>
      <c r="BN14" s="280">
        <f t="shared" si="34"/>
        <v>7.9822101328046562E-3</v>
      </c>
      <c r="BO14" s="281">
        <f t="shared" si="35"/>
        <v>5.1553423714192109E-2</v>
      </c>
      <c r="BP14" s="280"/>
      <c r="BR14" s="279">
        <v>2021</v>
      </c>
      <c r="BS14" s="280">
        <f t="shared" si="36"/>
        <v>0.95436349419593525</v>
      </c>
      <c r="BT14" s="280">
        <f t="shared" si="37"/>
        <v>861.39157216428021</v>
      </c>
      <c r="BU14" s="280">
        <f t="shared" si="38"/>
        <v>1.0942519458882645</v>
      </c>
      <c r="BV14" s="280">
        <f t="shared" si="39"/>
        <v>1.3768993678600537E-2</v>
      </c>
      <c r="BW14" s="280">
        <f t="shared" si="40"/>
        <v>8.3831020948754581E-3</v>
      </c>
      <c r="BX14" s="281">
        <f t="shared" si="41"/>
        <v>5.3415435222605091E-2</v>
      </c>
    </row>
    <row r="15" spans="2:76" x14ac:dyDescent="0.25">
      <c r="B15" s="254"/>
      <c r="C15" s="270"/>
      <c r="D15" s="270">
        <v>10</v>
      </c>
      <c r="E15" s="271">
        <v>4.0308000000000002</v>
      </c>
      <c r="F15" s="272">
        <v>1811.1405999999999</v>
      </c>
      <c r="G15" s="273">
        <v>5.5366999999999997</v>
      </c>
      <c r="H15" s="273">
        <v>8.6900000000000005E-2</v>
      </c>
      <c r="I15" s="273">
        <v>1.7100000000000001E-2</v>
      </c>
      <c r="J15" s="274">
        <v>0.72389999999999999</v>
      </c>
      <c r="K15" s="257"/>
      <c r="L15" s="250"/>
      <c r="M15" s="254"/>
      <c r="N15" s="275"/>
      <c r="O15" s="270">
        <v>10</v>
      </c>
      <c r="P15" s="271">
        <v>2.597</v>
      </c>
      <c r="Q15" s="272">
        <v>1668.7612999999999</v>
      </c>
      <c r="R15" s="273">
        <v>5.3948</v>
      </c>
      <c r="S15" s="273">
        <v>8.6999999999999994E-3</v>
      </c>
      <c r="T15" s="273">
        <v>1.4999999999999999E-2</v>
      </c>
      <c r="U15" s="274">
        <v>0.24840000000000001</v>
      </c>
      <c r="V15" s="257"/>
      <c r="Y15" s="279">
        <v>2022</v>
      </c>
      <c r="Z15" s="280">
        <f t="shared" si="6"/>
        <v>0.92954513724236376</v>
      </c>
      <c r="AA15" s="280">
        <f t="shared" si="7"/>
        <v>813.77593241806267</v>
      </c>
      <c r="AB15" s="280">
        <f t="shared" si="8"/>
        <v>1.1627212561944407</v>
      </c>
      <c r="AC15" s="280">
        <f t="shared" si="9"/>
        <v>1.5509192091585652E-2</v>
      </c>
      <c r="AD15" s="280">
        <f t="shared" si="10"/>
        <v>7.8778384145406014E-3</v>
      </c>
      <c r="AE15" s="281">
        <f t="shared" si="11"/>
        <v>5.366371445814648E-2</v>
      </c>
      <c r="AF15" s="280"/>
      <c r="AH15" s="279">
        <v>2022</v>
      </c>
      <c r="AI15" s="280">
        <f t="shared" si="12"/>
        <v>0.91203248507432966</v>
      </c>
      <c r="AJ15" s="280">
        <f t="shared" si="13"/>
        <v>823.08486780189162</v>
      </c>
      <c r="AK15" s="280">
        <f t="shared" si="14"/>
        <v>1.1637937980556339</v>
      </c>
      <c r="AL15" s="280">
        <f t="shared" si="15"/>
        <v>1.600991770701846E-2</v>
      </c>
      <c r="AM15" s="280">
        <f t="shared" si="16"/>
        <v>7.977865877780134E-3</v>
      </c>
      <c r="AN15" s="281">
        <f t="shared" si="17"/>
        <v>5.3132638610164762E-2</v>
      </c>
      <c r="AO15" s="280"/>
      <c r="AQ15" s="279">
        <v>2022</v>
      </c>
      <c r="AR15" s="280">
        <f t="shared" si="18"/>
        <v>0.96125912909169953</v>
      </c>
      <c r="AS15" s="280">
        <f t="shared" si="19"/>
        <v>690.1433429263825</v>
      </c>
      <c r="AT15" s="280">
        <f t="shared" si="20"/>
        <v>0.664186506292613</v>
      </c>
      <c r="AU15" s="280">
        <f t="shared" si="21"/>
        <v>9.848932148188317E-3</v>
      </c>
      <c r="AV15" s="280">
        <f t="shared" si="22"/>
        <v>6.7824773325020843E-3</v>
      </c>
      <c r="AW15" s="281">
        <f t="shared" si="23"/>
        <v>4.2289804240138437E-2</v>
      </c>
      <c r="AX15" s="280"/>
      <c r="AZ15" s="279">
        <v>2022</v>
      </c>
      <c r="BA15" s="280">
        <f t="shared" si="24"/>
        <v>0.94078523730945141</v>
      </c>
      <c r="BB15" s="280">
        <f t="shared" si="25"/>
        <v>731.56570552683013</v>
      </c>
      <c r="BC15" s="280">
        <f t="shared" si="26"/>
        <v>0.74192268616288792</v>
      </c>
      <c r="BD15" s="280">
        <f t="shared" si="27"/>
        <v>1.0422551045047124E-2</v>
      </c>
      <c r="BE15" s="280">
        <f t="shared" si="28"/>
        <v>7.1840885945247158E-3</v>
      </c>
      <c r="BF15" s="281">
        <f t="shared" si="29"/>
        <v>4.4010533144702782E-2</v>
      </c>
      <c r="BG15" s="280"/>
      <c r="BI15" s="279">
        <v>2022</v>
      </c>
      <c r="BJ15" s="280">
        <f t="shared" si="30"/>
        <v>0.89987676472667955</v>
      </c>
      <c r="BK15" s="280">
        <f t="shared" si="31"/>
        <v>814.31897304100369</v>
      </c>
      <c r="BL15" s="280">
        <f t="shared" si="32"/>
        <v>0.89711295283444681</v>
      </c>
      <c r="BM15" s="280">
        <f t="shared" si="33"/>
        <v>1.1813209658235747E-2</v>
      </c>
      <c r="BN15" s="280">
        <f t="shared" si="34"/>
        <v>7.9201274318422606E-3</v>
      </c>
      <c r="BO15" s="281">
        <f t="shared" si="35"/>
        <v>4.7480260780734092E-2</v>
      </c>
      <c r="BP15" s="280"/>
      <c r="BR15" s="279">
        <v>2022</v>
      </c>
      <c r="BS15" s="280">
        <f t="shared" si="36"/>
        <v>0.87925912964607222</v>
      </c>
      <c r="BT15" s="280">
        <f t="shared" si="37"/>
        <v>855.65921021122392</v>
      </c>
      <c r="BU15" s="280">
        <f t="shared" si="38"/>
        <v>0.97482119374120968</v>
      </c>
      <c r="BV15" s="280">
        <f t="shared" si="39"/>
        <v>1.2351877373898231E-2</v>
      </c>
      <c r="BW15" s="280">
        <f t="shared" si="40"/>
        <v>8.321121356069416E-3</v>
      </c>
      <c r="BX15" s="281">
        <f t="shared" si="41"/>
        <v>4.926995075385656E-2</v>
      </c>
    </row>
    <row r="16" spans="2:76" x14ac:dyDescent="0.25">
      <c r="B16" s="254"/>
      <c r="C16" s="270"/>
      <c r="D16" s="270">
        <v>11</v>
      </c>
      <c r="E16" s="271">
        <v>3.8317999999999999</v>
      </c>
      <c r="F16" s="272">
        <v>1684.0728999999999</v>
      </c>
      <c r="G16" s="273">
        <v>5.0221999999999998</v>
      </c>
      <c r="H16" s="273">
        <v>7.8899999999999998E-2</v>
      </c>
      <c r="I16" s="273">
        <v>1.6E-2</v>
      </c>
      <c r="J16" s="274">
        <v>0.65110000000000001</v>
      </c>
      <c r="K16" s="257"/>
      <c r="L16" s="250"/>
      <c r="M16" s="254"/>
      <c r="N16" s="275"/>
      <c r="O16" s="270">
        <v>11</v>
      </c>
      <c r="P16" s="271">
        <v>2.3246000000000002</v>
      </c>
      <c r="Q16" s="272">
        <v>1549.8034</v>
      </c>
      <c r="R16" s="273">
        <v>4.7725</v>
      </c>
      <c r="S16" s="273">
        <v>8.3000000000000001E-3</v>
      </c>
      <c r="T16" s="273">
        <v>1.4E-2</v>
      </c>
      <c r="U16" s="274">
        <v>0.2253</v>
      </c>
      <c r="V16" s="257"/>
      <c r="Y16" s="279">
        <v>2023</v>
      </c>
      <c r="Z16" s="280">
        <f t="shared" si="6"/>
        <v>0.86489105600898586</v>
      </c>
      <c r="AA16" s="280">
        <f t="shared" si="7"/>
        <v>811.95920138566191</v>
      </c>
      <c r="AB16" s="280">
        <f t="shared" si="8"/>
        <v>1.0398047341372381</v>
      </c>
      <c r="AC16" s="280">
        <f t="shared" si="9"/>
        <v>1.3724197224434551E-2</v>
      </c>
      <c r="AD16" s="280">
        <f t="shared" si="10"/>
        <v>7.8576602864206622E-3</v>
      </c>
      <c r="AE16" s="281">
        <f t="shared" si="11"/>
        <v>4.9713717112995284E-2</v>
      </c>
      <c r="AF16" s="280"/>
      <c r="AH16" s="279">
        <v>2023</v>
      </c>
      <c r="AI16" s="280">
        <f t="shared" si="12"/>
        <v>0.84791517378097148</v>
      </c>
      <c r="AJ16" s="280">
        <f t="shared" si="13"/>
        <v>821.1636560998993</v>
      </c>
      <c r="AK16" s="280">
        <f t="shared" si="14"/>
        <v>1.0388095697061563</v>
      </c>
      <c r="AL16" s="280">
        <f t="shared" si="15"/>
        <v>1.4135174235949E-2</v>
      </c>
      <c r="AM16" s="280">
        <f t="shared" si="16"/>
        <v>7.9576899877214606E-3</v>
      </c>
      <c r="AN16" s="281">
        <f t="shared" si="17"/>
        <v>4.9140209023209834E-2</v>
      </c>
      <c r="AO16" s="280"/>
      <c r="AQ16" s="279">
        <v>2023</v>
      </c>
      <c r="AR16" s="280">
        <f t="shared" si="18"/>
        <v>0.88726515405359563</v>
      </c>
      <c r="AS16" s="280">
        <f t="shared" si="19"/>
        <v>683.7635139954898</v>
      </c>
      <c r="AT16" s="280">
        <f t="shared" si="20"/>
        <v>0.59391695128727751</v>
      </c>
      <c r="AU16" s="280">
        <f t="shared" si="21"/>
        <v>8.8195909239579904E-3</v>
      </c>
      <c r="AV16" s="280">
        <f t="shared" si="22"/>
        <v>6.7152831087441082E-3</v>
      </c>
      <c r="AW16" s="281">
        <f t="shared" si="23"/>
        <v>3.8763831666096427E-2</v>
      </c>
      <c r="AX16" s="280"/>
      <c r="AZ16" s="279">
        <v>2023</v>
      </c>
      <c r="BA16" s="280">
        <f t="shared" si="24"/>
        <v>0.86799610583605824</v>
      </c>
      <c r="BB16" s="280">
        <f t="shared" si="25"/>
        <v>725.36051881717174</v>
      </c>
      <c r="BC16" s="280">
        <f t="shared" si="26"/>
        <v>0.66261388259204634</v>
      </c>
      <c r="BD16" s="280">
        <f t="shared" si="27"/>
        <v>9.3265358283412814E-3</v>
      </c>
      <c r="BE16" s="280">
        <f t="shared" si="28"/>
        <v>7.1170173947661605E-3</v>
      </c>
      <c r="BF16" s="281">
        <f t="shared" si="29"/>
        <v>4.0404975219075684E-2</v>
      </c>
      <c r="BG16" s="280"/>
      <c r="BI16" s="279">
        <v>2023</v>
      </c>
      <c r="BJ16" s="280">
        <f t="shared" si="30"/>
        <v>0.82948497860236281</v>
      </c>
      <c r="BK16" s="280">
        <f t="shared" si="31"/>
        <v>808.45626517462756</v>
      </c>
      <c r="BL16" s="280">
        <f t="shared" si="32"/>
        <v>0.7997446733148118</v>
      </c>
      <c r="BM16" s="280">
        <f t="shared" si="33"/>
        <v>1.0602570215011499E-2</v>
      </c>
      <c r="BN16" s="280">
        <f t="shared" si="34"/>
        <v>7.8585275873437593E-3</v>
      </c>
      <c r="BO16" s="281">
        <f t="shared" si="35"/>
        <v>4.3728912677159608E-2</v>
      </c>
      <c r="BP16" s="280"/>
      <c r="BR16" s="279">
        <v>2023</v>
      </c>
      <c r="BS16" s="280">
        <f t="shared" si="36"/>
        <v>0.81006516046311394</v>
      </c>
      <c r="BT16" s="280">
        <f t="shared" si="37"/>
        <v>849.96499580293448</v>
      </c>
      <c r="BU16" s="280">
        <f t="shared" si="38"/>
        <v>0.86842556080231181</v>
      </c>
      <c r="BV16" s="280">
        <f t="shared" si="39"/>
        <v>1.1080611860323402E-2</v>
      </c>
      <c r="BW16" s="280">
        <f t="shared" si="40"/>
        <v>8.2595988738776282E-3</v>
      </c>
      <c r="BX16" s="281">
        <f t="shared" si="41"/>
        <v>4.5446190547187293E-2</v>
      </c>
    </row>
    <row r="17" spans="2:76" x14ac:dyDescent="0.25">
      <c r="B17" s="254"/>
      <c r="C17" s="270"/>
      <c r="D17" s="270">
        <v>12</v>
      </c>
      <c r="E17" s="271">
        <v>3.6328</v>
      </c>
      <c r="F17" s="272">
        <v>1557.0053</v>
      </c>
      <c r="G17" s="273">
        <v>4.5077999999999996</v>
      </c>
      <c r="H17" s="273">
        <v>7.0900000000000005E-2</v>
      </c>
      <c r="I17" s="273">
        <v>1.49E-2</v>
      </c>
      <c r="J17" s="274">
        <v>0.57840000000000003</v>
      </c>
      <c r="K17" s="257"/>
      <c r="L17" s="250"/>
      <c r="M17" s="254"/>
      <c r="N17" s="275"/>
      <c r="O17" s="270">
        <v>12</v>
      </c>
      <c r="P17" s="271">
        <v>2.0522</v>
      </c>
      <c r="Q17" s="272">
        <v>1430.8453999999999</v>
      </c>
      <c r="R17" s="273">
        <v>4.1501000000000001</v>
      </c>
      <c r="S17" s="273">
        <v>7.9000000000000008E-3</v>
      </c>
      <c r="T17" s="273">
        <v>1.2999999999999999E-2</v>
      </c>
      <c r="U17" s="274">
        <v>0.20230000000000001</v>
      </c>
      <c r="V17" s="257"/>
      <c r="Y17" s="279">
        <v>2024</v>
      </c>
      <c r="Z17" s="280">
        <f t="shared" si="6"/>
        <v>0.80473395943256965</v>
      </c>
      <c r="AA17" s="280">
        <f t="shared" si="7"/>
        <v>810.14652615229943</v>
      </c>
      <c r="AB17" s="280">
        <f t="shared" si="8"/>
        <v>0.92988227348051966</v>
      </c>
      <c r="AC17" s="280">
        <f t="shared" si="9"/>
        <v>1.2144642244605784E-2</v>
      </c>
      <c r="AD17" s="280">
        <f t="shared" si="10"/>
        <v>7.8375338421298388E-3</v>
      </c>
      <c r="AE17" s="281">
        <f t="shared" si="11"/>
        <v>4.6054465184635358E-2</v>
      </c>
      <c r="AF17" s="280"/>
      <c r="AH17" s="279">
        <v>2024</v>
      </c>
      <c r="AI17" s="280">
        <f t="shared" si="12"/>
        <v>0.78830540983353303</v>
      </c>
      <c r="AJ17" s="280">
        <f t="shared" si="13"/>
        <v>819.2469288132429</v>
      </c>
      <c r="AK17" s="280">
        <f t="shared" si="14"/>
        <v>0.92724787150094712</v>
      </c>
      <c r="AL17" s="280">
        <f t="shared" si="15"/>
        <v>1.2479961130159107E-2</v>
      </c>
      <c r="AM17" s="280">
        <f t="shared" si="16"/>
        <v>7.9375651221530331E-3</v>
      </c>
      <c r="AN17" s="281">
        <f t="shared" si="17"/>
        <v>4.5447773835624782E-2</v>
      </c>
      <c r="AO17" s="280"/>
      <c r="AQ17" s="279">
        <v>2024</v>
      </c>
      <c r="AR17" s="280">
        <f t="shared" si="18"/>
        <v>0.81896694634423794</v>
      </c>
      <c r="AS17" s="280">
        <f t="shared" si="19"/>
        <v>677.44266153318813</v>
      </c>
      <c r="AT17" s="280">
        <f t="shared" si="20"/>
        <v>0.53108176947963004</v>
      </c>
      <c r="AU17" s="280">
        <f t="shared" si="21"/>
        <v>7.8978292159592681E-3</v>
      </c>
      <c r="AV17" s="280">
        <f t="shared" si="22"/>
        <v>6.6487545803486214E-3</v>
      </c>
      <c r="AW17" s="281">
        <f t="shared" si="23"/>
        <v>3.5531842070133476E-2</v>
      </c>
      <c r="AX17" s="280"/>
      <c r="AZ17" s="279">
        <v>2024</v>
      </c>
      <c r="BA17" s="280">
        <f t="shared" si="24"/>
        <v>0.80083871415888408</v>
      </c>
      <c r="BB17" s="280">
        <f t="shared" si="25"/>
        <v>719.2079648947132</v>
      </c>
      <c r="BC17" s="280">
        <f t="shared" si="26"/>
        <v>0.59178289812708584</v>
      </c>
      <c r="BD17" s="280">
        <f t="shared" si="27"/>
        <v>8.345775442248295E-3</v>
      </c>
      <c r="BE17" s="280">
        <f t="shared" si="28"/>
        <v>7.0505723768506971E-3</v>
      </c>
      <c r="BF17" s="281">
        <f t="shared" si="29"/>
        <v>3.7094802216696608E-2</v>
      </c>
      <c r="BG17" s="280"/>
      <c r="BI17" s="279">
        <v>2024</v>
      </c>
      <c r="BJ17" s="280">
        <f t="shared" si="30"/>
        <v>0.76459950595117654</v>
      </c>
      <c r="BK17" s="280">
        <f t="shared" si="31"/>
        <v>802.63576600615033</v>
      </c>
      <c r="BL17" s="280">
        <f t="shared" si="32"/>
        <v>0.71294427359967594</v>
      </c>
      <c r="BM17" s="280">
        <f t="shared" si="33"/>
        <v>9.5159993275728931E-3</v>
      </c>
      <c r="BN17" s="280">
        <f t="shared" si="34"/>
        <v>7.7974068438287835E-3</v>
      </c>
      <c r="BO17" s="281">
        <f t="shared" si="35"/>
        <v>4.0273953269914738E-2</v>
      </c>
      <c r="BP17" s="280"/>
      <c r="BR17" s="279">
        <v>2024</v>
      </c>
      <c r="BS17" s="280">
        <f t="shared" si="36"/>
        <v>0.74631646356663106</v>
      </c>
      <c r="BT17" s="280">
        <f t="shared" si="37"/>
        <v>844.3086750763124</v>
      </c>
      <c r="BU17" s="280">
        <f t="shared" si="38"/>
        <v>0.77364234538279941</v>
      </c>
      <c r="BV17" s="280">
        <f t="shared" si="39"/>
        <v>9.940186052898814E-3</v>
      </c>
      <c r="BW17" s="280">
        <f t="shared" si="40"/>
        <v>8.1985312601648673E-3</v>
      </c>
      <c r="BX17" s="281">
        <f t="shared" si="41"/>
        <v>4.1919186109387205E-2</v>
      </c>
    </row>
    <row r="18" spans="2:76" x14ac:dyDescent="0.25">
      <c r="B18" s="254"/>
      <c r="C18" s="270"/>
      <c r="D18" s="270">
        <v>13</v>
      </c>
      <c r="E18" s="271">
        <v>3.4338000000000002</v>
      </c>
      <c r="F18" s="272">
        <v>1429.9376</v>
      </c>
      <c r="G18" s="273">
        <v>3.9933000000000001</v>
      </c>
      <c r="H18" s="273">
        <v>6.2799999999999995E-2</v>
      </c>
      <c r="I18" s="273">
        <v>1.37E-2</v>
      </c>
      <c r="J18" s="274">
        <v>0.50560000000000005</v>
      </c>
      <c r="K18" s="257"/>
      <c r="L18" s="250"/>
      <c r="M18" s="254"/>
      <c r="N18" s="275"/>
      <c r="O18" s="270">
        <v>13</v>
      </c>
      <c r="P18" s="271">
        <v>1.7799</v>
      </c>
      <c r="Q18" s="272">
        <v>1311.8875</v>
      </c>
      <c r="R18" s="273">
        <v>3.5278</v>
      </c>
      <c r="S18" s="273">
        <v>7.4999999999999997E-3</v>
      </c>
      <c r="T18" s="273">
        <v>1.21E-2</v>
      </c>
      <c r="U18" s="274">
        <v>0.1792</v>
      </c>
      <c r="V18" s="257"/>
      <c r="Y18" s="279">
        <v>2025</v>
      </c>
      <c r="Z18" s="280">
        <f t="shared" si="6"/>
        <v>0.7487610618293784</v>
      </c>
      <c r="AA18" s="280">
        <f t="shared" si="7"/>
        <v>808.3378976635222</v>
      </c>
      <c r="AB18" s="280">
        <f t="shared" si="8"/>
        <v>0.83158021323181963</v>
      </c>
      <c r="AC18" s="280">
        <f t="shared" si="9"/>
        <v>1.0746882519792719E-2</v>
      </c>
      <c r="AD18" s="280">
        <f t="shared" si="10"/>
        <v>7.8174589492862687E-3</v>
      </c>
      <c r="AE18" s="281">
        <f t="shared" si="11"/>
        <v>4.2664557925167747E-2</v>
      </c>
      <c r="AF18" s="280"/>
      <c r="AH18" s="279">
        <v>2025</v>
      </c>
      <c r="AI18" s="280">
        <f t="shared" si="12"/>
        <v>0.73288630559799073</v>
      </c>
      <c r="AJ18" s="280">
        <f t="shared" si="13"/>
        <v>817.33467547457985</v>
      </c>
      <c r="AK18" s="280">
        <f t="shared" si="14"/>
        <v>0.82766720703799612</v>
      </c>
      <c r="AL18" s="280">
        <f t="shared" si="15"/>
        <v>1.1018571629218092E-2</v>
      </c>
      <c r="AM18" s="280">
        <f t="shared" si="16"/>
        <v>7.9174911520347637E-3</v>
      </c>
      <c r="AN18" s="281">
        <f t="shared" si="17"/>
        <v>4.2032791224769238E-2</v>
      </c>
      <c r="AO18" s="280"/>
      <c r="AQ18" s="279">
        <v>2025</v>
      </c>
      <c r="AR18" s="280">
        <f t="shared" si="18"/>
        <v>0.75592606803072038</v>
      </c>
      <c r="AS18" s="280">
        <f t="shared" si="19"/>
        <v>671.18024034870757</v>
      </c>
      <c r="AT18" s="280">
        <f t="shared" si="20"/>
        <v>0.47489441960242756</v>
      </c>
      <c r="AU18" s="280">
        <f t="shared" si="21"/>
        <v>7.0724035686302875E-3</v>
      </c>
      <c r="AV18" s="280">
        <f t="shared" si="22"/>
        <v>6.582885152249994E-3</v>
      </c>
      <c r="AW18" s="281">
        <f t="shared" si="23"/>
        <v>3.2569324203342978E-2</v>
      </c>
      <c r="AX18" s="280"/>
      <c r="AZ18" s="279">
        <v>2025</v>
      </c>
      <c r="BA18" s="280">
        <f t="shared" si="24"/>
        <v>0.7388773311118837</v>
      </c>
      <c r="BB18" s="280">
        <f t="shared" si="25"/>
        <v>713.10759732481552</v>
      </c>
      <c r="BC18" s="280">
        <f t="shared" si="26"/>
        <v>0.52852348511886815</v>
      </c>
      <c r="BD18" s="280">
        <f t="shared" si="27"/>
        <v>7.4681499127229843E-3</v>
      </c>
      <c r="BE18" s="280">
        <f t="shared" si="28"/>
        <v>6.9847476946968169E-3</v>
      </c>
      <c r="BF18" s="281">
        <f t="shared" si="29"/>
        <v>3.4055814761302004E-2</v>
      </c>
      <c r="BG18" s="280"/>
      <c r="BI18" s="279">
        <v>2025</v>
      </c>
      <c r="BJ18" s="280">
        <f t="shared" si="30"/>
        <v>0.70478962197220663</v>
      </c>
      <c r="BK18" s="280">
        <f t="shared" si="31"/>
        <v>796.85717165309677</v>
      </c>
      <c r="BL18" s="280">
        <f t="shared" si="32"/>
        <v>0.63556476737980883</v>
      </c>
      <c r="BM18" s="280">
        <f t="shared" si="33"/>
        <v>8.5407822222349269E-3</v>
      </c>
      <c r="BN18" s="280">
        <f t="shared" si="34"/>
        <v>7.7367614750257115E-3</v>
      </c>
      <c r="BO18" s="281">
        <f t="shared" si="35"/>
        <v>3.7091965308217484E-2</v>
      </c>
      <c r="BP18" s="280"/>
      <c r="BR18" s="279">
        <v>2025</v>
      </c>
      <c r="BS18" s="280">
        <f t="shared" si="36"/>
        <v>0.68758451909247964</v>
      </c>
      <c r="BT18" s="280">
        <f t="shared" si="37"/>
        <v>838.6899958576588</v>
      </c>
      <c r="BU18" s="280">
        <f t="shared" si="38"/>
        <v>0.68920412478006998</v>
      </c>
      <c r="BV18" s="280">
        <f t="shared" si="39"/>
        <v>8.9171338200235723E-3</v>
      </c>
      <c r="BW18" s="280">
        <f t="shared" si="40"/>
        <v>8.1379151518461961E-3</v>
      </c>
      <c r="BX18" s="281">
        <f t="shared" si="41"/>
        <v>3.8665906711122501E-2</v>
      </c>
    </row>
    <row r="19" spans="2:76" x14ac:dyDescent="0.25">
      <c r="B19" s="254"/>
      <c r="C19" s="270"/>
      <c r="D19" s="270">
        <v>14</v>
      </c>
      <c r="E19" s="271">
        <v>3.2347999999999999</v>
      </c>
      <c r="F19" s="272">
        <v>1302.8698999999999</v>
      </c>
      <c r="G19" s="273">
        <v>3.4788000000000001</v>
      </c>
      <c r="H19" s="273">
        <v>5.4800000000000001E-2</v>
      </c>
      <c r="I19" s="273">
        <v>1.26E-2</v>
      </c>
      <c r="J19" s="274">
        <v>0.43290000000000001</v>
      </c>
      <c r="K19" s="257"/>
      <c r="L19" s="250"/>
      <c r="M19" s="254"/>
      <c r="N19" s="275"/>
      <c r="O19" s="270">
        <v>14</v>
      </c>
      <c r="P19" s="271">
        <v>1.5075000000000001</v>
      </c>
      <c r="Q19" s="272">
        <v>1192.9295999999999</v>
      </c>
      <c r="R19" s="273">
        <v>2.9055</v>
      </c>
      <c r="S19" s="273">
        <v>7.1000000000000004E-3</v>
      </c>
      <c r="T19" s="273">
        <v>1.11E-2</v>
      </c>
      <c r="U19" s="274">
        <v>0.15609999999999999</v>
      </c>
      <c r="V19" s="257"/>
      <c r="Y19" s="279">
        <v>2026</v>
      </c>
      <c r="Z19" s="280">
        <f t="shared" si="6"/>
        <v>0.69668133317895065</v>
      </c>
      <c r="AA19" s="280">
        <f t="shared" si="7"/>
        <v>806.53330688509095</v>
      </c>
      <c r="AB19" s="280">
        <f t="shared" si="8"/>
        <v>0.74367010831416347</v>
      </c>
      <c r="AC19" s="280">
        <f t="shared" si="9"/>
        <v>9.5099947423749973E-3</v>
      </c>
      <c r="AD19" s="280">
        <f t="shared" si="10"/>
        <v>7.79743547584717E-3</v>
      </c>
      <c r="AE19" s="281">
        <f t="shared" si="11"/>
        <v>3.9524169820503496E-2</v>
      </c>
      <c r="AF19" s="280"/>
      <c r="AH19" s="279">
        <v>2026</v>
      </c>
      <c r="AI19" s="280">
        <f t="shared" si="12"/>
        <v>0.6813632511370129</v>
      </c>
      <c r="AJ19" s="280">
        <f t="shared" si="13"/>
        <v>815.42688564100001</v>
      </c>
      <c r="AK19" s="280">
        <f t="shared" si="14"/>
        <v>0.7387808876791554</v>
      </c>
      <c r="AL19" s="280">
        <f t="shared" si="15"/>
        <v>9.7283092056122452E-3</v>
      </c>
      <c r="AM19" s="280">
        <f t="shared" si="16"/>
        <v>7.8974679486529063E-3</v>
      </c>
      <c r="AN19" s="281">
        <f t="shared" si="17"/>
        <v>3.8874413178850695E-2</v>
      </c>
      <c r="AO19" s="280"/>
      <c r="AQ19" s="279">
        <v>2026</v>
      </c>
      <c r="AR19" s="280">
        <f t="shared" si="18"/>
        <v>0.69773783042056681</v>
      </c>
      <c r="AS19" s="280">
        <f t="shared" si="19"/>
        <v>664.97571029113521</v>
      </c>
      <c r="AT19" s="280">
        <f t="shared" si="20"/>
        <v>0.4246515748234071</v>
      </c>
      <c r="AU19" s="280">
        <f t="shared" si="21"/>
        <v>6.3332456134276068E-3</v>
      </c>
      <c r="AV19" s="280">
        <f t="shared" si="22"/>
        <v>6.5176682947201267E-3</v>
      </c>
      <c r="AW19" s="281">
        <f t="shared" si="23"/>
        <v>2.9853810477056361E-2</v>
      </c>
      <c r="AX19" s="280"/>
      <c r="AZ19" s="279">
        <v>2026</v>
      </c>
      <c r="BA19" s="280">
        <f t="shared" si="24"/>
        <v>0.68170993831687732</v>
      </c>
      <c r="BB19" s="280">
        <f t="shared" si="25"/>
        <v>707.05897345952678</v>
      </c>
      <c r="BC19" s="280">
        <f t="shared" si="26"/>
        <v>0.47202627045536316</v>
      </c>
      <c r="BD19" s="280">
        <f t="shared" si="27"/>
        <v>6.6828137786414466E-3</v>
      </c>
      <c r="BE19" s="280">
        <f t="shared" si="28"/>
        <v>6.9195375568024764E-3</v>
      </c>
      <c r="BF19" s="281">
        <f t="shared" si="29"/>
        <v>3.1265796007778221E-2</v>
      </c>
      <c r="BG19" s="280"/>
      <c r="BI19" s="279">
        <v>2026</v>
      </c>
      <c r="BJ19" s="280">
        <f t="shared" si="30"/>
        <v>0.64965829479811943</v>
      </c>
      <c r="BK19" s="280">
        <f t="shared" si="31"/>
        <v>791.12018042080035</v>
      </c>
      <c r="BL19" s="280">
        <f t="shared" si="32"/>
        <v>0.56658365666510369</v>
      </c>
      <c r="BM19" s="280">
        <f t="shared" si="33"/>
        <v>7.6655071586947225E-3</v>
      </c>
      <c r="BN19" s="280">
        <f t="shared" si="34"/>
        <v>7.676587783644496E-3</v>
      </c>
      <c r="BO19" s="281">
        <f t="shared" si="35"/>
        <v>3.4161381705077445E-2</v>
      </c>
      <c r="BP19" s="280"/>
      <c r="BR19" s="279">
        <v>2026</v>
      </c>
      <c r="BS19" s="280">
        <f t="shared" si="36"/>
        <v>0.63347452987472175</v>
      </c>
      <c r="BT19" s="280">
        <f t="shared" si="37"/>
        <v>833.10870765143238</v>
      </c>
      <c r="BU19" s="280">
        <f t="shared" si="38"/>
        <v>0.61398180754807363</v>
      </c>
      <c r="BV19" s="280">
        <f t="shared" si="39"/>
        <v>7.999374975584032E-3</v>
      </c>
      <c r="BW19" s="280">
        <f t="shared" si="40"/>
        <v>8.0777472107017544E-3</v>
      </c>
      <c r="BX19" s="281">
        <f t="shared" si="41"/>
        <v>3.5665109000254006E-2</v>
      </c>
    </row>
    <row r="20" spans="2:76" x14ac:dyDescent="0.25">
      <c r="B20" s="254"/>
      <c r="C20" s="270"/>
      <c r="D20" s="270">
        <v>15</v>
      </c>
      <c r="E20" s="271">
        <v>3.0358000000000001</v>
      </c>
      <c r="F20" s="272">
        <v>1175.8022000000001</v>
      </c>
      <c r="G20" s="273">
        <v>2.9643000000000002</v>
      </c>
      <c r="H20" s="273">
        <v>4.6800000000000001E-2</v>
      </c>
      <c r="I20" s="273">
        <v>1.14E-2</v>
      </c>
      <c r="J20" s="274">
        <v>0.36009999999999998</v>
      </c>
      <c r="K20" s="257"/>
      <c r="L20" s="250"/>
      <c r="M20" s="254"/>
      <c r="N20" s="275"/>
      <c r="O20" s="270">
        <v>15</v>
      </c>
      <c r="P20" s="271">
        <v>1.2352000000000001</v>
      </c>
      <c r="Q20" s="272">
        <v>1073.9717000000001</v>
      </c>
      <c r="R20" s="273">
        <v>2.2831000000000001</v>
      </c>
      <c r="S20" s="273">
        <v>6.7000000000000002E-3</v>
      </c>
      <c r="T20" s="273">
        <v>1.0200000000000001E-2</v>
      </c>
      <c r="U20" s="274">
        <v>0.1331</v>
      </c>
      <c r="V20" s="257"/>
      <c r="Y20" s="279">
        <v>2027</v>
      </c>
      <c r="Z20" s="280">
        <f t="shared" si="6"/>
        <v>0.64822398591902342</v>
      </c>
      <c r="AA20" s="280">
        <f t="shared" si="7"/>
        <v>804.73274480293514</v>
      </c>
      <c r="AB20" s="280">
        <f t="shared" si="8"/>
        <v>0.66505337813494514</v>
      </c>
      <c r="AC20" s="280">
        <f t="shared" si="9"/>
        <v>8.4154637247997443E-3</v>
      </c>
      <c r="AD20" s="280">
        <f t="shared" si="10"/>
        <v>7.7774632901079707E-3</v>
      </c>
      <c r="AE20" s="281">
        <f t="shared" si="11"/>
        <v>3.6614934642941278E-2</v>
      </c>
      <c r="AF20" s="280"/>
      <c r="AH20" s="279">
        <v>2027</v>
      </c>
      <c r="AI20" s="280">
        <f t="shared" si="12"/>
        <v>0.63346234805301149</v>
      </c>
      <c r="AJ20" s="280">
        <f t="shared" si="13"/>
        <v>813.52354889396884</v>
      </c>
      <c r="AK20" s="280">
        <f t="shared" si="14"/>
        <v>0.65944040715744423</v>
      </c>
      <c r="AL20" s="280">
        <f t="shared" si="15"/>
        <v>8.5891350698344433E-3</v>
      </c>
      <c r="AM20" s="280">
        <f t="shared" si="16"/>
        <v>7.8774953836192301E-3</v>
      </c>
      <c r="AN20" s="281">
        <f t="shared" si="17"/>
        <v>3.5953358222602726E-2</v>
      </c>
      <c r="AO20" s="280"/>
      <c r="AQ20" s="279">
        <v>2027</v>
      </c>
      <c r="AR20" s="280">
        <f t="shared" si="18"/>
        <v>0.64402869617695846</v>
      </c>
      <c r="AS20" s="280">
        <f t="shared" si="19"/>
        <v>658.82853620282572</v>
      </c>
      <c r="AT20" s="280">
        <f t="shared" si="20"/>
        <v>0.37972431883063107</v>
      </c>
      <c r="AU20" s="280">
        <f t="shared" si="21"/>
        <v>5.6713392569830582E-3</v>
      </c>
      <c r="AV20" s="280">
        <f t="shared" si="22"/>
        <v>6.4530975427211472E-3</v>
      </c>
      <c r="AW20" s="281">
        <f t="shared" si="23"/>
        <v>2.7364706569764211E-2</v>
      </c>
      <c r="AX20" s="280"/>
      <c r="AZ20" s="279">
        <v>2027</v>
      </c>
      <c r="BA20" s="280">
        <f t="shared" si="24"/>
        <v>0.62896562180445303</v>
      </c>
      <c r="BB20" s="280">
        <f t="shared" si="25"/>
        <v>701.06165440546283</v>
      </c>
      <c r="BC20" s="280">
        <f t="shared" si="26"/>
        <v>0.42156840003030066</v>
      </c>
      <c r="BD20" s="280">
        <f t="shared" si="27"/>
        <v>5.9800620664986559E-3</v>
      </c>
      <c r="BE20" s="280">
        <f t="shared" si="28"/>
        <v>6.854936225735536E-3</v>
      </c>
      <c r="BF20" s="281">
        <f t="shared" si="29"/>
        <v>2.8704349223522364E-2</v>
      </c>
      <c r="BG20" s="280"/>
      <c r="BI20" s="279">
        <v>2027</v>
      </c>
      <c r="BJ20" s="280">
        <f t="shared" si="30"/>
        <v>0.59883954990563704</v>
      </c>
      <c r="BK20" s="280">
        <f t="shared" si="31"/>
        <v>785.42449278665208</v>
      </c>
      <c r="BL20" s="280">
        <f t="shared" si="32"/>
        <v>0.50508942042748994</v>
      </c>
      <c r="BM20" s="280">
        <f t="shared" si="33"/>
        <v>6.8799318927750272E-3</v>
      </c>
      <c r="BN20" s="280">
        <f t="shared" si="34"/>
        <v>7.6168821011512542E-3</v>
      </c>
      <c r="BO20" s="281">
        <f t="shared" si="35"/>
        <v>3.146233935847715E-2</v>
      </c>
      <c r="BP20" s="280"/>
      <c r="BR20" s="279">
        <v>2027</v>
      </c>
      <c r="BS20" s="280">
        <f t="shared" si="36"/>
        <v>0.5836227676121174</v>
      </c>
      <c r="BT20" s="280">
        <f t="shared" si="37"/>
        <v>827.56456162908182</v>
      </c>
      <c r="BU20" s="280">
        <f t="shared" si="38"/>
        <v>0.54696953550632732</v>
      </c>
      <c r="BV20" s="280">
        <f t="shared" si="39"/>
        <v>7.1760726362891875E-3</v>
      </c>
      <c r="BW20" s="280">
        <f t="shared" si="40"/>
        <v>8.0180241231929197E-3</v>
      </c>
      <c r="BX20" s="281">
        <f t="shared" si="41"/>
        <v>3.2897198286419599E-2</v>
      </c>
    </row>
    <row r="21" spans="2:76" x14ac:dyDescent="0.25">
      <c r="B21" s="254"/>
      <c r="C21" s="270"/>
      <c r="D21" s="270">
        <v>16</v>
      </c>
      <c r="E21" s="271">
        <v>2.9594</v>
      </c>
      <c r="F21" s="272">
        <v>1149.78</v>
      </c>
      <c r="G21" s="273">
        <v>2.8980999999999999</v>
      </c>
      <c r="H21" s="273">
        <v>4.5199999999999997E-2</v>
      </c>
      <c r="I21" s="273">
        <v>1.12E-2</v>
      </c>
      <c r="J21" s="274">
        <v>0.33639999999999998</v>
      </c>
      <c r="K21" s="257"/>
      <c r="L21" s="250"/>
      <c r="M21" s="254"/>
      <c r="N21" s="275"/>
      <c r="O21" s="270">
        <v>16</v>
      </c>
      <c r="P21" s="271">
        <v>1.1707000000000001</v>
      </c>
      <c r="Q21" s="272">
        <v>1044.4852000000001</v>
      </c>
      <c r="R21" s="273">
        <v>2.1133000000000002</v>
      </c>
      <c r="S21" s="273">
        <v>6.3E-3</v>
      </c>
      <c r="T21" s="273">
        <v>9.9000000000000008E-3</v>
      </c>
      <c r="U21" s="274">
        <v>0.1231</v>
      </c>
      <c r="V21" s="257"/>
      <c r="Y21" s="279">
        <v>2028</v>
      </c>
      <c r="Z21" s="280">
        <f t="shared" si="6"/>
        <v>0.60313706699073355</v>
      </c>
      <c r="AA21" s="280">
        <f t="shared" si="7"/>
        <v>802.93620242310783</v>
      </c>
      <c r="AB21" s="280">
        <f t="shared" si="8"/>
        <v>0.59474757802401057</v>
      </c>
      <c r="AC21" s="280">
        <f t="shared" si="9"/>
        <v>7.4469052425295036E-3</v>
      </c>
      <c r="AD21" s="280">
        <f t="shared" si="10"/>
        <v>7.7575422607014449E-3</v>
      </c>
      <c r="AE21" s="281">
        <f t="shared" si="11"/>
        <v>3.3919838038227082E-2</v>
      </c>
      <c r="AF21" s="280"/>
      <c r="AH21" s="279">
        <v>2028</v>
      </c>
      <c r="AI21" s="280">
        <f t="shared" si="12"/>
        <v>0.58892895343447837</v>
      </c>
      <c r="AJ21" s="280">
        <f t="shared" si="13"/>
        <v>811.62465483927031</v>
      </c>
      <c r="AK21" s="280">
        <f t="shared" si="14"/>
        <v>0.58862060164830843</v>
      </c>
      <c r="AL21" s="280">
        <f t="shared" si="15"/>
        <v>7.5833569522338242E-3</v>
      </c>
      <c r="AM21" s="280">
        <f t="shared" si="16"/>
        <v>7.8575733288701946E-3</v>
      </c>
      <c r="AN21" s="281">
        <f t="shared" si="17"/>
        <v>3.3251793706459018E-2</v>
      </c>
      <c r="AO21" s="280"/>
      <c r="AQ21" s="279">
        <v>2028</v>
      </c>
      <c r="AR21" s="280">
        <f t="shared" si="18"/>
        <v>0.59445388140898925</v>
      </c>
      <c r="AS21" s="280">
        <f t="shared" si="19"/>
        <v>652.73818787324274</v>
      </c>
      <c r="AT21" s="280">
        <f t="shared" si="20"/>
        <v>0.33955027335374638</v>
      </c>
      <c r="AU21" s="280">
        <f t="shared" si="21"/>
        <v>5.0786107046920078E-3</v>
      </c>
      <c r="AV21" s="280">
        <f t="shared" si="22"/>
        <v>6.3891664952645255E-3</v>
      </c>
      <c r="AW21" s="281">
        <f t="shared" si="23"/>
        <v>2.5083135240802676E-2</v>
      </c>
      <c r="AX21" s="280"/>
      <c r="AZ21" s="279">
        <v>2028</v>
      </c>
      <c r="BA21" s="280">
        <f t="shared" si="24"/>
        <v>0.58030216544676172</v>
      </c>
      <c r="BB21" s="280">
        <f t="shared" si="25"/>
        <v>695.11520499196115</v>
      </c>
      <c r="BC21" s="280">
        <f t="shared" si="26"/>
        <v>0.37650429017999659</v>
      </c>
      <c r="BD21" s="280">
        <f t="shared" si="27"/>
        <v>5.3512103589464502E-3</v>
      </c>
      <c r="BE21" s="280">
        <f t="shared" si="28"/>
        <v>6.7909380176289606E-3</v>
      </c>
      <c r="BF21" s="281">
        <f t="shared" si="29"/>
        <v>2.6352748675931726E-2</v>
      </c>
      <c r="BG21" s="280"/>
      <c r="BI21" s="279">
        <v>2028</v>
      </c>
      <c r="BJ21" s="280">
        <f t="shared" si="30"/>
        <v>0.55199604069185815</v>
      </c>
      <c r="BK21" s="280">
        <f t="shared" si="31"/>
        <v>779.76981138446286</v>
      </c>
      <c r="BL21" s="280">
        <f t="shared" si="32"/>
        <v>0.45026946970087289</v>
      </c>
      <c r="BM21" s="280">
        <f t="shared" si="33"/>
        <v>6.1748638243112513E-3</v>
      </c>
      <c r="BN21" s="280">
        <f t="shared" si="34"/>
        <v>7.5576407875446129E-3</v>
      </c>
      <c r="BO21" s="281">
        <f t="shared" si="35"/>
        <v>2.8976544521934652E-2</v>
      </c>
      <c r="BP21" s="280"/>
      <c r="BR21" s="279">
        <v>2028</v>
      </c>
      <c r="BS21" s="280">
        <f t="shared" si="36"/>
        <v>0.53769412788007265</v>
      </c>
      <c r="BT21" s="280">
        <f t="shared" si="37"/>
        <v>822.05731061795223</v>
      </c>
      <c r="BU21" s="280">
        <f t="shared" si="38"/>
        <v>0.48727123360016256</v>
      </c>
      <c r="BV21" s="280">
        <f t="shared" si="39"/>
        <v>6.4375052599079767E-3</v>
      </c>
      <c r="BW21" s="280">
        <f t="shared" si="40"/>
        <v>7.9587426002798271E-3</v>
      </c>
      <c r="BX21" s="281">
        <f t="shared" si="41"/>
        <v>3.0344100591093132E-2</v>
      </c>
    </row>
    <row r="22" spans="2:76" x14ac:dyDescent="0.25">
      <c r="B22" s="254"/>
      <c r="C22" s="270"/>
      <c r="D22" s="270">
        <v>17</v>
      </c>
      <c r="E22" s="271">
        <v>2.883</v>
      </c>
      <c r="F22" s="272">
        <v>1123.7577000000001</v>
      </c>
      <c r="G22" s="273">
        <v>2.8317999999999999</v>
      </c>
      <c r="H22" s="273">
        <v>4.36E-2</v>
      </c>
      <c r="I22" s="273">
        <v>1.0999999999999999E-2</v>
      </c>
      <c r="J22" s="274">
        <v>0.31259999999999999</v>
      </c>
      <c r="K22" s="257"/>
      <c r="L22" s="250"/>
      <c r="M22" s="254"/>
      <c r="N22" s="275"/>
      <c r="O22" s="270">
        <v>17</v>
      </c>
      <c r="P22" s="271">
        <v>1.1062000000000001</v>
      </c>
      <c r="Q22" s="272">
        <v>1014.9987</v>
      </c>
      <c r="R22" s="273">
        <v>1.9435</v>
      </c>
      <c r="S22" s="273">
        <v>5.8999999999999999E-3</v>
      </c>
      <c r="T22" s="273">
        <v>9.7000000000000003E-3</v>
      </c>
      <c r="U22" s="274">
        <v>0.113</v>
      </c>
      <c r="V22" s="257"/>
      <c r="Y22" s="279">
        <v>2029</v>
      </c>
      <c r="Z22" s="280">
        <f t="shared" si="6"/>
        <v>0.56118614781346199</v>
      </c>
      <c r="AA22" s="280">
        <f t="shared" si="7"/>
        <v>801.14367077174086</v>
      </c>
      <c r="AB22" s="280">
        <f t="shared" si="8"/>
        <v>0.53187412198010475</v>
      </c>
      <c r="AC22" s="280">
        <f t="shared" si="9"/>
        <v>6.5898207757449576E-3</v>
      </c>
      <c r="AD22" s="280">
        <f t="shared" si="10"/>
        <v>7.7376722565968472E-3</v>
      </c>
      <c r="AE22" s="281">
        <f t="shared" si="11"/>
        <v>3.142311801890281E-2</v>
      </c>
      <c r="AF22" s="280"/>
      <c r="AH22" s="279">
        <v>2029</v>
      </c>
      <c r="AI22" s="280">
        <f t="shared" si="12"/>
        <v>0.54752632616517372</v>
      </c>
      <c r="AJ22" s="280">
        <f t="shared" si="13"/>
        <v>809.73019310694997</v>
      </c>
      <c r="AK22" s="280">
        <f t="shared" si="14"/>
        <v>0.52540640355709101</v>
      </c>
      <c r="AL22" s="280">
        <f t="shared" si="15"/>
        <v>6.6953543281630494E-3</v>
      </c>
      <c r="AM22" s="280">
        <f t="shared" si="16"/>
        <v>7.8377016566661302E-3</v>
      </c>
      <c r="AN22" s="281">
        <f t="shared" si="17"/>
        <v>3.0753226940614432E-2</v>
      </c>
      <c r="AO22" s="280"/>
      <c r="AQ22" s="279">
        <v>2029</v>
      </c>
      <c r="AR22" s="280">
        <f t="shared" si="18"/>
        <v>0.54869514234365169</v>
      </c>
      <c r="AS22" s="280">
        <f t="shared" si="19"/>
        <v>646.70413999322659</v>
      </c>
      <c r="AT22" s="280">
        <f t="shared" si="20"/>
        <v>0.30362655857716819</v>
      </c>
      <c r="AU22" s="280">
        <f t="shared" si="21"/>
        <v>4.547829978263862E-3</v>
      </c>
      <c r="AV22" s="280">
        <f t="shared" si="22"/>
        <v>6.3258688147765328E-3</v>
      </c>
      <c r="AW22" s="281">
        <f t="shared" si="23"/>
        <v>2.2991793166295894E-2</v>
      </c>
      <c r="AX22" s="280"/>
      <c r="AZ22" s="279">
        <v>2029</v>
      </c>
      <c r="BA22" s="280">
        <f t="shared" si="24"/>
        <v>0.53540383058789398</v>
      </c>
      <c r="BB22" s="280">
        <f t="shared" si="25"/>
        <v>689.21919373950448</v>
      </c>
      <c r="BC22" s="280">
        <f t="shared" si="26"/>
        <v>0.33625736775753173</v>
      </c>
      <c r="BD22" s="280">
        <f t="shared" si="27"/>
        <v>4.78848747509103E-3</v>
      </c>
      <c r="BE22" s="280">
        <f t="shared" si="28"/>
        <v>6.7275373016807338E-3</v>
      </c>
      <c r="BF22" s="281">
        <f t="shared" si="29"/>
        <v>2.4193802735918705E-2</v>
      </c>
      <c r="BG22" s="280"/>
      <c r="BI22" s="279">
        <v>2029</v>
      </c>
      <c r="BJ22" s="280">
        <f t="shared" si="30"/>
        <v>0.5088168090893479</v>
      </c>
      <c r="BK22" s="280">
        <f t="shared" si="31"/>
        <v>774.15584098893805</v>
      </c>
      <c r="BL22" s="280">
        <f t="shared" si="32"/>
        <v>0.40139940997598222</v>
      </c>
      <c r="BM22" s="280">
        <f t="shared" si="33"/>
        <v>5.5420524277033827E-3</v>
      </c>
      <c r="BN22" s="280">
        <f t="shared" si="34"/>
        <v>7.4988602311337939E-3</v>
      </c>
      <c r="BO22" s="281">
        <f t="shared" si="35"/>
        <v>2.6687148811947135E-2</v>
      </c>
      <c r="BP22" s="280"/>
      <c r="BR22" s="279">
        <v>2029</v>
      </c>
      <c r="BS22" s="280">
        <f t="shared" si="36"/>
        <v>0.49537987755279139</v>
      </c>
      <c r="BT22" s="280">
        <f t="shared" si="37"/>
        <v>816.5867090902658</v>
      </c>
      <c r="BU22" s="280">
        <f t="shared" si="38"/>
        <v>0.43408862775955753</v>
      </c>
      <c r="BV22" s="280">
        <f t="shared" si="39"/>
        <v>5.7749518534378477E-3</v>
      </c>
      <c r="BW22" s="280">
        <f t="shared" si="40"/>
        <v>7.8998993772402305E-3</v>
      </c>
      <c r="BX22" s="281">
        <f t="shared" si="41"/>
        <v>2.7989144627628741E-2</v>
      </c>
    </row>
    <row r="23" spans="2:76" x14ac:dyDescent="0.25">
      <c r="B23" s="254"/>
      <c r="C23" s="270"/>
      <c r="D23" s="270">
        <v>18</v>
      </c>
      <c r="E23" s="271">
        <v>2.8066</v>
      </c>
      <c r="F23" s="272">
        <v>1097.7354</v>
      </c>
      <c r="G23" s="273">
        <v>2.7656000000000001</v>
      </c>
      <c r="H23" s="273">
        <v>4.2000000000000003E-2</v>
      </c>
      <c r="I23" s="273">
        <v>1.0699999999999999E-2</v>
      </c>
      <c r="J23" s="274">
        <v>0.2888</v>
      </c>
      <c r="K23" s="257"/>
      <c r="L23" s="250"/>
      <c r="M23" s="254"/>
      <c r="N23" s="275"/>
      <c r="O23" s="270">
        <v>18</v>
      </c>
      <c r="P23" s="271">
        <v>1.0418000000000001</v>
      </c>
      <c r="Q23" s="272">
        <v>985.51220000000001</v>
      </c>
      <c r="R23" s="273">
        <v>1.7737000000000001</v>
      </c>
      <c r="S23" s="273">
        <v>5.4999999999999997E-3</v>
      </c>
      <c r="T23" s="273">
        <v>9.4000000000000004E-3</v>
      </c>
      <c r="U23" s="274">
        <v>0.10299999999999999</v>
      </c>
      <c r="V23" s="257"/>
      <c r="Y23" s="279">
        <v>2030</v>
      </c>
      <c r="Z23" s="280">
        <f t="shared" si="6"/>
        <v>0.52215310537787152</v>
      </c>
      <c r="AA23" s="280">
        <f t="shared" si="7"/>
        <v>799.35514089499986</v>
      </c>
      <c r="AB23" s="280">
        <f t="shared" si="8"/>
        <v>0.47564730330131211</v>
      </c>
      <c r="AC23" s="280">
        <f t="shared" si="9"/>
        <v>5.8313804784884543E-3</v>
      </c>
      <c r="AD23" s="280">
        <f t="shared" si="10"/>
        <v>7.7178531470990528E-3</v>
      </c>
      <c r="AE23" s="281">
        <f t="shared" si="11"/>
        <v>2.9110172781989629E-2</v>
      </c>
      <c r="AF23" s="280"/>
      <c r="AH23" s="279">
        <v>2030</v>
      </c>
      <c r="AI23" s="280">
        <f t="shared" si="12"/>
        <v>0.50903436839989724</v>
      </c>
      <c r="AJ23" s="280">
        <f t="shared" si="13"/>
        <v>807.84015335125866</v>
      </c>
      <c r="AK23" s="280">
        <f t="shared" si="14"/>
        <v>0.46898101786748786</v>
      </c>
      <c r="AL23" s="280">
        <f t="shared" si="15"/>
        <v>5.911335818953741E-3</v>
      </c>
      <c r="AM23" s="280">
        <f t="shared" si="16"/>
        <v>7.817880239590418E-3</v>
      </c>
      <c r="AN23" s="281">
        <f t="shared" si="17"/>
        <v>2.8442404509361047E-2</v>
      </c>
      <c r="AO23" s="280"/>
      <c r="AQ23" s="279">
        <v>2030</v>
      </c>
      <c r="AR23" s="280">
        <f t="shared" si="18"/>
        <v>0.50645873237117278</v>
      </c>
      <c r="AS23" s="280">
        <f t="shared" si="19"/>
        <v>640.72587210968493</v>
      </c>
      <c r="AT23" s="280">
        <f t="shared" si="20"/>
        <v>0.27150349832695075</v>
      </c>
      <c r="AU23" s="280">
        <f t="shared" si="21"/>
        <v>4.0725227259666057E-3</v>
      </c>
      <c r="AV23" s="280">
        <f t="shared" si="22"/>
        <v>6.2631982264699897E-3</v>
      </c>
      <c r="AW23" s="281">
        <f t="shared" si="23"/>
        <v>2.1074819711605332E-2</v>
      </c>
      <c r="AX23" s="280"/>
      <c r="AZ23" s="279">
        <v>2030</v>
      </c>
      <c r="BA23" s="280">
        <f t="shared" si="24"/>
        <v>0.4939793074656188</v>
      </c>
      <c r="BB23" s="280">
        <f t="shared" si="25"/>
        <v>683.37319282841202</v>
      </c>
      <c r="BC23" s="280">
        <f t="shared" si="26"/>
        <v>0.30031269316258968</v>
      </c>
      <c r="BD23" s="280">
        <f t="shared" si="27"/>
        <v>4.2849394363218534E-3</v>
      </c>
      <c r="BE23" s="280">
        <f t="shared" si="28"/>
        <v>6.6647284996584344E-3</v>
      </c>
      <c r="BF23" s="281">
        <f t="shared" si="29"/>
        <v>2.2211728196654696E-2</v>
      </c>
      <c r="BG23" s="280"/>
      <c r="BI23" s="279">
        <v>2030</v>
      </c>
      <c r="BJ23" s="280">
        <f t="shared" si="30"/>
        <v>0.46901522135443924</v>
      </c>
      <c r="BK23" s="280">
        <f t="shared" si="31"/>
        <v>768.58228850026444</v>
      </c>
      <c r="BL23" s="280">
        <f t="shared" si="32"/>
        <v>0.35783346900269375</v>
      </c>
      <c r="BM23" s="280">
        <f t="shared" si="33"/>
        <v>4.9740927063826965E-3</v>
      </c>
      <c r="BN23" s="280">
        <f t="shared" si="34"/>
        <v>7.4405368483184261E-3</v>
      </c>
      <c r="BO23" s="281">
        <f t="shared" si="35"/>
        <v>2.4578635011910672E-2</v>
      </c>
      <c r="BP23" s="280"/>
      <c r="BR23" s="279">
        <v>2030</v>
      </c>
      <c r="BS23" s="280">
        <f t="shared" si="36"/>
        <v>0.45639557949376175</v>
      </c>
      <c r="BT23" s="280">
        <f t="shared" si="37"/>
        <v>811.1525131521754</v>
      </c>
      <c r="BU23" s="280">
        <f t="shared" si="38"/>
        <v>0.3867105705336939</v>
      </c>
      <c r="BV23" s="280">
        <f t="shared" si="39"/>
        <v>5.1805889957442872E-3</v>
      </c>
      <c r="BW23" s="280">
        <f t="shared" si="40"/>
        <v>7.8414912134897197E-3</v>
      </c>
      <c r="BX23" s="281">
        <f t="shared" si="41"/>
        <v>2.5816952940640694E-2</v>
      </c>
    </row>
    <row r="24" spans="2:76" x14ac:dyDescent="0.25">
      <c r="B24" s="254"/>
      <c r="C24" s="270"/>
      <c r="D24" s="270">
        <v>19</v>
      </c>
      <c r="E24" s="271">
        <v>2.7302</v>
      </c>
      <c r="F24" s="272">
        <v>1071.7130999999999</v>
      </c>
      <c r="G24" s="273">
        <v>2.6993999999999998</v>
      </c>
      <c r="H24" s="273">
        <v>4.0500000000000001E-2</v>
      </c>
      <c r="I24" s="273">
        <v>1.0500000000000001E-2</v>
      </c>
      <c r="J24" s="274">
        <v>0.26500000000000001</v>
      </c>
      <c r="K24" s="257"/>
      <c r="L24" s="250"/>
      <c r="M24" s="254"/>
      <c r="N24" s="275"/>
      <c r="O24" s="270">
        <v>19</v>
      </c>
      <c r="P24" s="271">
        <v>0.97729999999999995</v>
      </c>
      <c r="Q24" s="272">
        <v>956.02570000000003</v>
      </c>
      <c r="R24" s="273">
        <v>1.6039000000000001</v>
      </c>
      <c r="S24" s="273">
        <v>5.1000000000000004E-3</v>
      </c>
      <c r="T24" s="273">
        <v>9.1999999999999998E-3</v>
      </c>
      <c r="U24" s="274">
        <v>9.2999999999999999E-2</v>
      </c>
      <c r="V24" s="257"/>
      <c r="Y24" s="279">
        <v>2031</v>
      </c>
      <c r="Z24" s="280">
        <f t="shared" si="6"/>
        <v>0.48583498811945242</v>
      </c>
      <c r="AA24" s="280">
        <f t="shared" si="7"/>
        <v>797.57060385903969</v>
      </c>
      <c r="AB24" s="280">
        <f t="shared" si="8"/>
        <v>0.42536447589430404</v>
      </c>
      <c r="AC24" s="280">
        <f t="shared" si="9"/>
        <v>5.160231126475831E-3</v>
      </c>
      <c r="AD24" s="280">
        <f t="shared" si="10"/>
        <v>7.6980848018476959E-3</v>
      </c>
      <c r="AE24" s="281">
        <f t="shared" si="11"/>
        <v>2.6967475311887534E-2</v>
      </c>
      <c r="AF24" s="280"/>
      <c r="AH24" s="279">
        <v>2031</v>
      </c>
      <c r="AI24" s="280">
        <f t="shared" si="12"/>
        <v>0.47324845551648254</v>
      </c>
      <c r="AJ24" s="280">
        <f t="shared" si="13"/>
        <v>805.95452525059579</v>
      </c>
      <c r="AK24" s="280">
        <f t="shared" si="14"/>
        <v>0.41861536827677015</v>
      </c>
      <c r="AL24" s="280">
        <f t="shared" si="15"/>
        <v>5.2191250009665686E-3</v>
      </c>
      <c r="AM24" s="280">
        <f t="shared" si="16"/>
        <v>7.7981089505486751E-3</v>
      </c>
      <c r="AN24" s="281">
        <f t="shared" si="17"/>
        <v>2.630521915102672E-2</v>
      </c>
      <c r="AO24" s="280"/>
      <c r="AQ24" s="279">
        <v>2031</v>
      </c>
      <c r="AR24" s="280">
        <f t="shared" si="18"/>
        <v>0.46747351634902423</v>
      </c>
      <c r="AS24" s="280">
        <f t="shared" si="19"/>
        <v>634.80286858070224</v>
      </c>
      <c r="AT24" s="280">
        <f t="shared" si="20"/>
        <v>0.2427789912358333</v>
      </c>
      <c r="AU24" s="280">
        <f t="shared" si="21"/>
        <v>3.6468912498452679E-3</v>
      </c>
      <c r="AV24" s="280">
        <f t="shared" si="22"/>
        <v>6.2011485177222376E-3</v>
      </c>
      <c r="AW24" s="281">
        <f t="shared" si="23"/>
        <v>1.9317676645062797E-2</v>
      </c>
      <c r="AX24" s="280"/>
      <c r="AZ24" s="279">
        <v>2031</v>
      </c>
      <c r="BA24" s="280">
        <f t="shared" si="24"/>
        <v>0.45575982513287938</v>
      </c>
      <c r="BB24" s="280">
        <f t="shared" si="25"/>
        <v>677.57677806779668</v>
      </c>
      <c r="BC24" s="280">
        <f t="shared" si="26"/>
        <v>0.26821037194224467</v>
      </c>
      <c r="BD24" s="280">
        <f t="shared" si="27"/>
        <v>3.8343435309073672E-3</v>
      </c>
      <c r="BE24" s="280">
        <f t="shared" si="28"/>
        <v>6.602506085408447E-3</v>
      </c>
      <c r="BF24" s="281">
        <f t="shared" si="29"/>
        <v>2.0392034888736602E-2</v>
      </c>
      <c r="BG24" s="280"/>
      <c r="BI24" s="279">
        <v>2031</v>
      </c>
      <c r="BJ24" s="280">
        <f t="shared" si="30"/>
        <v>0.43232706532603193</v>
      </c>
      <c r="BK24" s="280">
        <f t="shared" si="31"/>
        <v>763.04886292880724</v>
      </c>
      <c r="BL24" s="280">
        <f t="shared" si="32"/>
        <v>0.31899596351216203</v>
      </c>
      <c r="BM24" s="280">
        <f t="shared" si="33"/>
        <v>4.4643385414422027E-3</v>
      </c>
      <c r="BN24" s="280">
        <f t="shared" si="34"/>
        <v>7.3826670833700651E-3</v>
      </c>
      <c r="BO24" s="281">
        <f t="shared" si="35"/>
        <v>2.2636711898510388E-2</v>
      </c>
      <c r="BP24" s="280"/>
      <c r="BR24" s="279">
        <v>2031</v>
      </c>
      <c r="BS24" s="280">
        <f t="shared" si="36"/>
        <v>0.42047918056431133</v>
      </c>
      <c r="BT24" s="280">
        <f t="shared" si="37"/>
        <v>805.75448053289097</v>
      </c>
      <c r="BU24" s="280">
        <f t="shared" si="38"/>
        <v>0.34450353176570275</v>
      </c>
      <c r="BV24" s="280">
        <f t="shared" si="39"/>
        <v>4.6473984587161116E-3</v>
      </c>
      <c r="BW24" s="280">
        <f t="shared" si="40"/>
        <v>7.7835148924032477E-3</v>
      </c>
      <c r="BX24" s="281">
        <f t="shared" si="41"/>
        <v>2.3813341493877722E-2</v>
      </c>
    </row>
    <row r="25" spans="2:76" x14ac:dyDescent="0.25">
      <c r="B25" s="254"/>
      <c r="C25" s="270"/>
      <c r="D25" s="270">
        <v>20</v>
      </c>
      <c r="E25" s="271">
        <v>2.6537999999999999</v>
      </c>
      <c r="F25" s="272">
        <v>1045.6908000000001</v>
      </c>
      <c r="G25" s="273">
        <v>2.6332</v>
      </c>
      <c r="H25" s="273">
        <v>3.8899999999999997E-2</v>
      </c>
      <c r="I25" s="273">
        <v>1.0200000000000001E-2</v>
      </c>
      <c r="J25" s="274">
        <v>0.24129999999999999</v>
      </c>
      <c r="K25" s="257"/>
      <c r="L25" s="250"/>
      <c r="M25" s="254"/>
      <c r="N25" s="275"/>
      <c r="O25" s="270">
        <v>20</v>
      </c>
      <c r="P25" s="271">
        <v>0.91279999999999994</v>
      </c>
      <c r="Q25" s="272">
        <v>926.53909999999996</v>
      </c>
      <c r="R25" s="273">
        <v>1.4340999999999999</v>
      </c>
      <c r="S25" s="273">
        <v>4.7000000000000002E-3</v>
      </c>
      <c r="T25" s="273">
        <v>8.8999999999999999E-3</v>
      </c>
      <c r="U25" s="274">
        <v>8.3000000000000004E-2</v>
      </c>
      <c r="V25" s="257"/>
      <c r="Y25" s="279">
        <v>2032</v>
      </c>
      <c r="Z25" s="280">
        <f t="shared" si="6"/>
        <v>0.45204296067570893</v>
      </c>
      <c r="AA25" s="280">
        <f t="shared" si="7"/>
        <v>795.79005074995985</v>
      </c>
      <c r="AB25" s="280">
        <f t="shared" si="8"/>
        <v>0.38039727356178799</v>
      </c>
      <c r="AC25" s="280">
        <f t="shared" si="9"/>
        <v>4.5663261687140392E-3</v>
      </c>
      <c r="AD25" s="280">
        <f t="shared" si="10"/>
        <v>7.678367090816313E-3</v>
      </c>
      <c r="AE25" s="281">
        <f t="shared" si="11"/>
        <v>2.4982494269055237E-2</v>
      </c>
      <c r="AF25" s="280"/>
      <c r="AH25" s="279">
        <v>2032</v>
      </c>
      <c r="AI25" s="280">
        <f t="shared" si="12"/>
        <v>0.43997834832399768</v>
      </c>
      <c r="AJ25" s="280">
        <f t="shared" si="13"/>
        <v>804.07329850745305</v>
      </c>
      <c r="AK25" s="280">
        <f t="shared" si="14"/>
        <v>0.37365867675055925</v>
      </c>
      <c r="AL25" s="280">
        <f t="shared" si="15"/>
        <v>4.6079712961621961E-3</v>
      </c>
      <c r="AM25" s="280">
        <f t="shared" si="16"/>
        <v>7.7783876627679389E-3</v>
      </c>
      <c r="AN25" s="281">
        <f t="shared" si="17"/>
        <v>2.4328623635030629E-2</v>
      </c>
      <c r="AO25" s="280"/>
      <c r="AQ25" s="279">
        <v>2032</v>
      </c>
      <c r="AR25" s="280">
        <f t="shared" si="18"/>
        <v>0.43148923005944811</v>
      </c>
      <c r="AS25" s="280">
        <f t="shared" si="19"/>
        <v>628.93461853106453</v>
      </c>
      <c r="AT25" s="280">
        <f t="shared" si="20"/>
        <v>0.21709347742735141</v>
      </c>
      <c r="AU25" s="280">
        <f t="shared" si="21"/>
        <v>3.2657437866209314E-3</v>
      </c>
      <c r="AV25" s="280">
        <f t="shared" si="22"/>
        <v>6.139713537459273E-3</v>
      </c>
      <c r="AW25" s="281">
        <f t="shared" si="23"/>
        <v>1.770703788074204E-2</v>
      </c>
      <c r="AX25" s="280"/>
      <c r="AZ25" s="279">
        <v>2032</v>
      </c>
      <c r="BA25" s="280">
        <f t="shared" si="24"/>
        <v>0.4204974076158241</v>
      </c>
      <c r="BB25" s="280">
        <f t="shared" si="25"/>
        <v>671.8295288647854</v>
      </c>
      <c r="BC25" s="280">
        <f t="shared" si="26"/>
        <v>0.23953967066736856</v>
      </c>
      <c r="BD25" s="280">
        <f t="shared" si="27"/>
        <v>3.4311314153908745E-3</v>
      </c>
      <c r="BE25" s="280">
        <f t="shared" si="28"/>
        <v>6.5408645843697474E-3</v>
      </c>
      <c r="BF25" s="281">
        <f t="shared" si="29"/>
        <v>1.8721419748242714E-2</v>
      </c>
      <c r="BG25" s="280"/>
      <c r="BI25" s="279">
        <v>2032</v>
      </c>
      <c r="BJ25" s="280">
        <f t="shared" si="30"/>
        <v>0.39850879652405125</v>
      </c>
      <c r="BK25" s="280">
        <f t="shared" si="31"/>
        <v>757.55527537991827</v>
      </c>
      <c r="BL25" s="280">
        <f t="shared" si="32"/>
        <v>0.28437369209945695</v>
      </c>
      <c r="BM25" s="280">
        <f t="shared" si="33"/>
        <v>4.0068249204587491E-3</v>
      </c>
      <c r="BN25" s="280">
        <f t="shared" si="34"/>
        <v>7.3252474082154172E-3</v>
      </c>
      <c r="BO25" s="281">
        <f t="shared" si="35"/>
        <v>2.0848217377728483E-2</v>
      </c>
      <c r="BP25" s="280"/>
      <c r="BR25" s="279">
        <v>2032</v>
      </c>
      <c r="BS25" s="280">
        <f t="shared" si="36"/>
        <v>0.38738925009779013</v>
      </c>
      <c r="BT25" s="280">
        <f t="shared" si="37"/>
        <v>800.39237057387868</v>
      </c>
      <c r="BU25" s="280">
        <f t="shared" si="38"/>
        <v>0.30690312715075319</v>
      </c>
      <c r="BV25" s="280">
        <f t="shared" si="39"/>
        <v>4.1690843361284428E-3</v>
      </c>
      <c r="BW25" s="280">
        <f t="shared" si="40"/>
        <v>7.725967221137991E-3</v>
      </c>
      <c r="BX25" s="281">
        <f t="shared" si="41"/>
        <v>2.1965227050918017E-2</v>
      </c>
    </row>
    <row r="26" spans="2:76" x14ac:dyDescent="0.25">
      <c r="B26" s="254"/>
      <c r="C26" s="270"/>
      <c r="D26" s="270">
        <v>21</v>
      </c>
      <c r="E26" s="271">
        <v>2.6002999999999998</v>
      </c>
      <c r="F26" s="272">
        <v>1002.0956</v>
      </c>
      <c r="G26" s="273">
        <v>2.4211</v>
      </c>
      <c r="H26" s="273">
        <v>3.5000000000000003E-2</v>
      </c>
      <c r="I26" s="273">
        <v>9.7999999999999997E-3</v>
      </c>
      <c r="J26" s="274">
        <v>0.22159999999999999</v>
      </c>
      <c r="K26" s="257"/>
      <c r="L26" s="250"/>
      <c r="M26" s="254"/>
      <c r="N26" s="275"/>
      <c r="O26" s="270">
        <v>21</v>
      </c>
      <c r="P26" s="271">
        <v>0.87780000000000002</v>
      </c>
      <c r="Q26" s="272">
        <v>874.51620000000003</v>
      </c>
      <c r="R26" s="273">
        <v>1.2529999999999999</v>
      </c>
      <c r="S26" s="273">
        <v>4.4000000000000003E-3</v>
      </c>
      <c r="T26" s="273">
        <v>8.3999999999999995E-3</v>
      </c>
      <c r="U26" s="274">
        <v>7.4800000000000005E-2</v>
      </c>
      <c r="V26" s="257"/>
      <c r="Y26" s="279">
        <v>2033</v>
      </c>
      <c r="Z26" s="280">
        <f t="shared" si="6"/>
        <v>0.42060132204026995</v>
      </c>
      <c r="AA26" s="280">
        <f t="shared" si="7"/>
        <v>794.01347267375968</v>
      </c>
      <c r="AB26" s="280">
        <f t="shared" si="8"/>
        <v>0.34018375753878849</v>
      </c>
      <c r="AC26" s="280">
        <f t="shared" si="9"/>
        <v>4.0407753389377753E-3</v>
      </c>
      <c r="AD26" s="280">
        <f t="shared" si="10"/>
        <v>7.6586998843114875E-3</v>
      </c>
      <c r="AE26" s="281">
        <f t="shared" si="11"/>
        <v>2.3143620701796184E-2</v>
      </c>
      <c r="AF26" s="280"/>
      <c r="AH26" s="279">
        <v>2033</v>
      </c>
      <c r="AI26" s="280">
        <f t="shared" si="12"/>
        <v>0.40904718174441229</v>
      </c>
      <c r="AJ26" s="280">
        <f t="shared" si="13"/>
        <v>802.19646284835812</v>
      </c>
      <c r="AK26" s="280">
        <f t="shared" si="14"/>
        <v>0.3335300547749307</v>
      </c>
      <c r="AL26" s="280">
        <f t="shared" si="15"/>
        <v>4.0683830071750219E-3</v>
      </c>
      <c r="AM26" s="280">
        <f t="shared" si="16"/>
        <v>7.7587162497958512E-3</v>
      </c>
      <c r="AN26" s="281">
        <f t="shared" si="17"/>
        <v>2.2500551110286766E-2</v>
      </c>
      <c r="AO26" s="280"/>
      <c r="AQ26" s="279">
        <v>2033</v>
      </c>
      <c r="AR26" s="280">
        <f t="shared" si="18"/>
        <v>0.39827487364714742</v>
      </c>
      <c r="AS26" s="280">
        <f t="shared" si="19"/>
        <v>623.12061580819477</v>
      </c>
      <c r="AT26" s="280">
        <f t="shared" si="20"/>
        <v>0.19412543771433127</v>
      </c>
      <c r="AU26" s="280">
        <f t="shared" si="21"/>
        <v>2.9244311796535537E-3</v>
      </c>
      <c r="AV26" s="280">
        <f t="shared" si="22"/>
        <v>6.0788871955459829E-3</v>
      </c>
      <c r="AW26" s="281">
        <f t="shared" si="23"/>
        <v>1.6230688414083573E-2</v>
      </c>
      <c r="AX26" s="280"/>
      <c r="AZ26" s="279">
        <v>2033</v>
      </c>
      <c r="BA26" s="280">
        <f t="shared" si="24"/>
        <v>0.38796326499396078</v>
      </c>
      <c r="BB26" s="280">
        <f t="shared" si="25"/>
        <v>666.13102819400058</v>
      </c>
      <c r="BC26" s="280">
        <f t="shared" si="26"/>
        <v>0.21393376180018572</v>
      </c>
      <c r="BD26" s="280">
        <f t="shared" si="27"/>
        <v>3.0703203024941995E-3</v>
      </c>
      <c r="BE26" s="280">
        <f t="shared" si="28"/>
        <v>6.4797985730922309E-3</v>
      </c>
      <c r="BF26" s="281">
        <f t="shared" si="29"/>
        <v>1.7187669563251084E-2</v>
      </c>
      <c r="BG26" s="280"/>
      <c r="BI26" s="279">
        <v>2033</v>
      </c>
      <c r="BJ26" s="280">
        <f t="shared" si="30"/>
        <v>0.36733592144476185</v>
      </c>
      <c r="BK26" s="280">
        <f t="shared" si="31"/>
        <v>752.10123903885301</v>
      </c>
      <c r="BL26" s="280">
        <f t="shared" si="32"/>
        <v>0.25350915374574501</v>
      </c>
      <c r="BM26" s="280">
        <f t="shared" si="33"/>
        <v>3.59619813644841E-3</v>
      </c>
      <c r="BN26" s="280">
        <f t="shared" si="34"/>
        <v>7.2682743222212496E-3</v>
      </c>
      <c r="BO26" s="281">
        <f t="shared" si="35"/>
        <v>1.9201029273938939E-2</v>
      </c>
      <c r="BP26" s="280"/>
      <c r="BR26" s="279">
        <v>2033</v>
      </c>
      <c r="BS26" s="280">
        <f t="shared" si="36"/>
        <v>0.35690335699837406</v>
      </c>
      <c r="BT26" s="280">
        <f t="shared" si="37"/>
        <v>795.06594421813168</v>
      </c>
      <c r="BU26" s="280">
        <f t="shared" si="38"/>
        <v>0.27340657139901192</v>
      </c>
      <c r="BV26" s="280">
        <f t="shared" si="39"/>
        <v>3.7399987016721783E-3</v>
      </c>
      <c r="BW26" s="280">
        <f t="shared" si="40"/>
        <v>7.6688450304575129E-3</v>
      </c>
      <c r="BX26" s="281">
        <f t="shared" si="41"/>
        <v>2.026054174389685E-2</v>
      </c>
    </row>
    <row r="27" spans="2:76" x14ac:dyDescent="0.25">
      <c r="B27" s="254"/>
      <c r="C27" s="270"/>
      <c r="D27" s="270">
        <v>22</v>
      </c>
      <c r="E27" s="271">
        <v>2.5468000000000002</v>
      </c>
      <c r="F27" s="272">
        <v>958.50049999999999</v>
      </c>
      <c r="G27" s="273">
        <v>2.2090999999999998</v>
      </c>
      <c r="H27" s="273">
        <v>3.1099999999999999E-2</v>
      </c>
      <c r="I27" s="273">
        <v>9.4000000000000004E-3</v>
      </c>
      <c r="J27" s="274">
        <v>0.2019</v>
      </c>
      <c r="K27" s="257"/>
      <c r="L27" s="250"/>
      <c r="M27" s="254"/>
      <c r="N27" s="275"/>
      <c r="O27" s="270">
        <v>22</v>
      </c>
      <c r="P27" s="271">
        <v>0.84279999999999999</v>
      </c>
      <c r="Q27" s="272">
        <v>822.49329999999998</v>
      </c>
      <c r="R27" s="273">
        <v>1.0718000000000001</v>
      </c>
      <c r="S27" s="273">
        <v>4.1000000000000003E-3</v>
      </c>
      <c r="T27" s="273">
        <v>7.9000000000000008E-3</v>
      </c>
      <c r="U27" s="274">
        <v>6.6600000000000006E-2</v>
      </c>
      <c r="V27" s="257"/>
      <c r="Y27" s="279">
        <v>2034</v>
      </c>
      <c r="Z27" s="280">
        <f t="shared" si="6"/>
        <v>0.39134659200883581</v>
      </c>
      <c r="AA27" s="280">
        <f t="shared" si="7"/>
        <v>792.2408607562943</v>
      </c>
      <c r="AB27" s="280">
        <f t="shared" si="8"/>
        <v>0.3042213941483784</v>
      </c>
      <c r="AC27" s="280">
        <f t="shared" si="9"/>
        <v>3.5757115756726416E-3</v>
      </c>
      <c r="AD27" s="280">
        <f t="shared" si="10"/>
        <v>7.6390830529719971E-3</v>
      </c>
      <c r="AE27" s="281">
        <f t="shared" si="11"/>
        <v>2.1440100152532313E-2</v>
      </c>
      <c r="AF27" s="280"/>
      <c r="AH27" s="279">
        <v>2034</v>
      </c>
      <c r="AI27" s="280">
        <f t="shared" si="12"/>
        <v>0.38029052459152607</v>
      </c>
      <c r="AJ27" s="280">
        <f t="shared" si="13"/>
        <v>800.32400802381869</v>
      </c>
      <c r="AK27" s="280">
        <f t="shared" si="14"/>
        <v>0.29771099765583531</v>
      </c>
      <c r="AL27" s="280">
        <f t="shared" si="15"/>
        <v>3.5919799037931917E-3</v>
      </c>
      <c r="AM27" s="280">
        <f t="shared" si="16"/>
        <v>7.739094585499851E-3</v>
      </c>
      <c r="AN27" s="281">
        <f t="shared" si="17"/>
        <v>2.0809841438693029E-2</v>
      </c>
      <c r="AO27" s="280"/>
      <c r="AQ27" s="279">
        <v>2034</v>
      </c>
      <c r="AR27" s="280">
        <f t="shared" si="18"/>
        <v>0.36761722872387126</v>
      </c>
      <c r="AS27" s="280">
        <f t="shared" si="19"/>
        <v>617.36035893849566</v>
      </c>
      <c r="AT27" s="280">
        <f t="shared" si="20"/>
        <v>0.1735873689728499</v>
      </c>
      <c r="AU27" s="280">
        <f t="shared" si="21"/>
        <v>2.6187901695065145E-3</v>
      </c>
      <c r="AV27" s="280">
        <f t="shared" si="22"/>
        <v>6.0186634621824204E-3</v>
      </c>
      <c r="AW27" s="281">
        <f t="shared" si="23"/>
        <v>1.4877431683905512E-2</v>
      </c>
      <c r="AX27" s="280"/>
      <c r="AZ27" s="279">
        <v>2034</v>
      </c>
      <c r="BA27" s="280">
        <f t="shared" si="24"/>
        <v>0.35794630896342788</v>
      </c>
      <c r="BB27" s="280">
        <f t="shared" si="25"/>
        <v>660.48086256730016</v>
      </c>
      <c r="BC27" s="280">
        <f t="shared" si="26"/>
        <v>0.19106503031613847</v>
      </c>
      <c r="BD27" s="280">
        <f t="shared" si="27"/>
        <v>2.7474513851677013E-3</v>
      </c>
      <c r="BE27" s="280">
        <f t="shared" si="28"/>
        <v>6.4193026787595382E-3</v>
      </c>
      <c r="BF27" s="281">
        <f t="shared" si="29"/>
        <v>1.5779571687838306E-2</v>
      </c>
      <c r="BG27" s="280"/>
      <c r="BI27" s="279">
        <v>2034</v>
      </c>
      <c r="BJ27" s="280">
        <f t="shared" si="30"/>
        <v>0.33860150732087657</v>
      </c>
      <c r="BK27" s="280">
        <f t="shared" si="31"/>
        <v>746.68646915579609</v>
      </c>
      <c r="BL27" s="280">
        <f t="shared" si="32"/>
        <v>0.22599450236911175</v>
      </c>
      <c r="BM27" s="280">
        <f t="shared" si="33"/>
        <v>3.2276531401612464E-3</v>
      </c>
      <c r="BN27" s="280">
        <f t="shared" si="34"/>
        <v>7.2117443519809686E-3</v>
      </c>
      <c r="BO27" s="281">
        <f t="shared" si="35"/>
        <v>1.7683983167429425E-2</v>
      </c>
      <c r="BP27" s="280"/>
      <c r="BR27" s="279">
        <v>2034</v>
      </c>
      <c r="BS27" s="280">
        <f t="shared" si="36"/>
        <v>0.32881657455531826</v>
      </c>
      <c r="BT27" s="280">
        <f t="shared" si="37"/>
        <v>789.77496399951212</v>
      </c>
      <c r="BU27" s="280">
        <f t="shared" si="38"/>
        <v>0.24356595508863829</v>
      </c>
      <c r="BV27" s="280">
        <f t="shared" si="39"/>
        <v>3.3550749183210199E-3</v>
      </c>
      <c r="BW27" s="280">
        <f t="shared" si="40"/>
        <v>7.6121451745572305E-3</v>
      </c>
      <c r="BX27" s="281">
        <f t="shared" si="41"/>
        <v>1.8688154272415353E-2</v>
      </c>
    </row>
    <row r="28" spans="2:76" x14ac:dyDescent="0.25">
      <c r="B28" s="254"/>
      <c r="C28" s="270"/>
      <c r="D28" s="270">
        <v>23</v>
      </c>
      <c r="E28" s="271">
        <v>2.4933000000000001</v>
      </c>
      <c r="F28" s="272">
        <v>914.90530000000001</v>
      </c>
      <c r="G28" s="273">
        <v>1.9971000000000001</v>
      </c>
      <c r="H28" s="273">
        <v>2.7199999999999998E-2</v>
      </c>
      <c r="I28" s="273">
        <v>8.9999999999999993E-3</v>
      </c>
      <c r="J28" s="274">
        <v>0.1822</v>
      </c>
      <c r="K28" s="257"/>
      <c r="L28" s="250"/>
      <c r="M28" s="254"/>
      <c r="N28" s="275"/>
      <c r="O28" s="270">
        <v>23</v>
      </c>
      <c r="P28" s="271">
        <v>0.80769999999999997</v>
      </c>
      <c r="Q28" s="272">
        <v>770.47040000000004</v>
      </c>
      <c r="R28" s="273">
        <v>0.89070000000000005</v>
      </c>
      <c r="S28" s="273">
        <v>3.8E-3</v>
      </c>
      <c r="T28" s="273">
        <v>7.4000000000000003E-3</v>
      </c>
      <c r="U28" s="274">
        <v>5.8400000000000001E-2</v>
      </c>
      <c r="V28" s="257"/>
      <c r="Y28" s="279">
        <v>2035</v>
      </c>
      <c r="Z28" s="280">
        <f t="shared" si="6"/>
        <v>0.3641266611669538</v>
      </c>
      <c r="AA28" s="280">
        <f t="shared" si="7"/>
        <v>790.4722061432301</v>
      </c>
      <c r="AB28" s="280">
        <f t="shared" si="8"/>
        <v>0.27206077482117935</v>
      </c>
      <c r="AC28" s="280">
        <f t="shared" si="9"/>
        <v>3.1641732588281899E-3</v>
      </c>
      <c r="AD28" s="280">
        <f t="shared" si="10"/>
        <v>7.6195164677679622E-3</v>
      </c>
      <c r="AE28" s="281">
        <f t="shared" si="11"/>
        <v>1.9861969761496324E-2</v>
      </c>
      <c r="AF28" s="280"/>
      <c r="AH28" s="279">
        <v>2035</v>
      </c>
      <c r="AI28" s="280">
        <f t="shared" si="12"/>
        <v>0.35355550544891062</v>
      </c>
      <c r="AJ28" s="280">
        <f t="shared" si="13"/>
        <v>798.45592380826633</v>
      </c>
      <c r="AK28" s="280">
        <f t="shared" si="14"/>
        <v>0.26573868488416252</v>
      </c>
      <c r="AL28" s="280">
        <f t="shared" si="15"/>
        <v>3.1713630713970506E-3</v>
      </c>
      <c r="AM28" s="280">
        <f t="shared" si="16"/>
        <v>7.7195225440663644E-3</v>
      </c>
      <c r="AN28" s="281">
        <f t="shared" si="17"/>
        <v>1.9246173063981738E-2</v>
      </c>
      <c r="AO28" s="280"/>
      <c r="AQ28" s="279">
        <v>2035</v>
      </c>
      <c r="AR28" s="280">
        <f t="shared" si="18"/>
        <v>0.33931948962049974</v>
      </c>
      <c r="AS28" s="280">
        <f t="shared" si="19"/>
        <v>611.65335108409658</v>
      </c>
      <c r="AT28" s="280">
        <f t="shared" si="20"/>
        <v>0.15522218531328416</v>
      </c>
      <c r="AU28" s="280">
        <f t="shared" si="21"/>
        <v>2.345092611383116E-3</v>
      </c>
      <c r="AV28" s="280">
        <f t="shared" si="22"/>
        <v>5.9590363673060641E-3</v>
      </c>
      <c r="AW28" s="281">
        <f t="shared" si="23"/>
        <v>1.3637004658238515E-2</v>
      </c>
      <c r="AX28" s="280"/>
      <c r="AZ28" s="279">
        <v>2035</v>
      </c>
      <c r="BA28" s="280">
        <f t="shared" si="24"/>
        <v>0.3302517832520464</v>
      </c>
      <c r="BB28" s="280">
        <f t="shared" si="25"/>
        <v>654.87862200377492</v>
      </c>
      <c r="BC28" s="280">
        <f t="shared" si="26"/>
        <v>0.17064088203059505</v>
      </c>
      <c r="BD28" s="280">
        <f t="shared" si="27"/>
        <v>2.4585347358475414E-3</v>
      </c>
      <c r="BE28" s="280">
        <f t="shared" si="28"/>
        <v>6.3593715787163335E-3</v>
      </c>
      <c r="BF28" s="281">
        <f t="shared" si="29"/>
        <v>1.4486832070823822E-2</v>
      </c>
      <c r="BG28" s="280"/>
      <c r="BI28" s="279">
        <v>2035</v>
      </c>
      <c r="BJ28" s="280">
        <f t="shared" si="30"/>
        <v>0.31211480845390249</v>
      </c>
      <c r="BK28" s="280">
        <f t="shared" si="31"/>
        <v>741.31068303099471</v>
      </c>
      <c r="BL28" s="280">
        <f t="shared" si="32"/>
        <v>0.20146615751905447</v>
      </c>
      <c r="BM28" s="280">
        <f t="shared" si="33"/>
        <v>2.8968773126280731E-3</v>
      </c>
      <c r="BN28" s="280">
        <f t="shared" si="34"/>
        <v>7.1556540511028633E-3</v>
      </c>
      <c r="BO28" s="281">
        <f t="shared" si="35"/>
        <v>1.6286796723464114E-2</v>
      </c>
      <c r="BP28" s="280"/>
      <c r="BR28" s="279">
        <v>2035</v>
      </c>
      <c r="BS28" s="280">
        <f t="shared" si="36"/>
        <v>0.30294010292199558</v>
      </c>
      <c r="BT28" s="280">
        <f t="shared" si="37"/>
        <v>784.51919403216471</v>
      </c>
      <c r="BU28" s="280">
        <f t="shared" si="38"/>
        <v>0.216982255308202</v>
      </c>
      <c r="BV28" s="280">
        <f t="shared" si="39"/>
        <v>3.0097678115540336E-3</v>
      </c>
      <c r="BW28" s="280">
        <f t="shared" si="40"/>
        <v>7.5558645308911685E-3</v>
      </c>
      <c r="BX28" s="281">
        <f t="shared" si="41"/>
        <v>1.7237797218072962E-2</v>
      </c>
    </row>
    <row r="29" spans="2:76" x14ac:dyDescent="0.25">
      <c r="B29" s="254"/>
      <c r="C29" s="270"/>
      <c r="D29" s="270">
        <v>24</v>
      </c>
      <c r="E29" s="271">
        <v>2.4398</v>
      </c>
      <c r="F29" s="272">
        <v>871.31010000000003</v>
      </c>
      <c r="G29" s="273">
        <v>1.7849999999999999</v>
      </c>
      <c r="H29" s="273">
        <v>2.3300000000000001E-2</v>
      </c>
      <c r="I29" s="273">
        <v>8.6E-3</v>
      </c>
      <c r="J29" s="274">
        <v>0.16259999999999999</v>
      </c>
      <c r="K29" s="257"/>
      <c r="L29" s="250"/>
      <c r="M29" s="254"/>
      <c r="N29" s="275"/>
      <c r="O29" s="270">
        <v>24</v>
      </c>
      <c r="P29" s="271">
        <v>0.77270000000000005</v>
      </c>
      <c r="Q29" s="272">
        <v>718.44759999999997</v>
      </c>
      <c r="R29" s="273">
        <v>0.70960000000000001</v>
      </c>
      <c r="S29" s="273">
        <v>3.5000000000000001E-3</v>
      </c>
      <c r="T29" s="273">
        <v>6.8999999999999999E-3</v>
      </c>
      <c r="U29" s="274">
        <v>5.0200000000000002E-2</v>
      </c>
      <c r="V29" s="257"/>
      <c r="Y29" s="279">
        <v>2036</v>
      </c>
      <c r="Z29" s="278">
        <f t="shared" ref="Z29:AE29" si="42">P58</f>
        <v>0.33879999999999999</v>
      </c>
      <c r="AA29" s="278">
        <f t="shared" si="42"/>
        <v>788.70749999999998</v>
      </c>
      <c r="AB29" s="278">
        <f t="shared" si="42"/>
        <v>0.24329999999999999</v>
      </c>
      <c r="AC29" s="278">
        <f t="shared" si="42"/>
        <v>2.8E-3</v>
      </c>
      <c r="AD29" s="278">
        <f t="shared" si="42"/>
        <v>7.6E-3</v>
      </c>
      <c r="AE29" s="282">
        <f t="shared" si="42"/>
        <v>1.84E-2</v>
      </c>
      <c r="AF29" s="278"/>
      <c r="AH29" s="279">
        <v>2036</v>
      </c>
      <c r="AI29" s="278">
        <f t="shared" ref="AI29:AN29" si="43">P59</f>
        <v>0.32869999999999999</v>
      </c>
      <c r="AJ29" s="278">
        <f t="shared" si="43"/>
        <v>796.59220000000005</v>
      </c>
      <c r="AK29" s="278">
        <f t="shared" si="43"/>
        <v>0.23719999999999999</v>
      </c>
      <c r="AL29" s="278">
        <f t="shared" si="43"/>
        <v>2.8E-3</v>
      </c>
      <c r="AM29" s="278">
        <f t="shared" si="43"/>
        <v>7.7000000000000002E-3</v>
      </c>
      <c r="AN29" s="282">
        <f t="shared" si="43"/>
        <v>1.78E-2</v>
      </c>
      <c r="AO29" s="278"/>
      <c r="AQ29" s="279">
        <v>2036</v>
      </c>
      <c r="AR29" s="278">
        <f t="shared" ref="AR29:AW29" si="44">P70</f>
        <v>0.31319999999999998</v>
      </c>
      <c r="AS29" s="278">
        <f t="shared" si="44"/>
        <v>605.9991</v>
      </c>
      <c r="AT29" s="278">
        <f t="shared" si="44"/>
        <v>0.13880000000000001</v>
      </c>
      <c r="AU29" s="278">
        <f t="shared" si="44"/>
        <v>2.0999999999999999E-3</v>
      </c>
      <c r="AV29" s="278">
        <f t="shared" si="44"/>
        <v>5.8999999999999999E-3</v>
      </c>
      <c r="AW29" s="282">
        <f t="shared" si="44"/>
        <v>1.2500000000000001E-2</v>
      </c>
      <c r="AX29" s="278"/>
      <c r="AZ29" s="279">
        <v>2036</v>
      </c>
      <c r="BA29" s="278">
        <f t="shared" ref="BA29:BF29" si="45">P71</f>
        <v>0.30470000000000003</v>
      </c>
      <c r="BB29" s="278">
        <f t="shared" si="45"/>
        <v>649.32389999999998</v>
      </c>
      <c r="BC29" s="278">
        <f t="shared" si="45"/>
        <v>0.15240000000000001</v>
      </c>
      <c r="BD29" s="278">
        <f t="shared" si="45"/>
        <v>2.2000000000000001E-3</v>
      </c>
      <c r="BE29" s="278">
        <f t="shared" si="45"/>
        <v>6.3E-3</v>
      </c>
      <c r="BF29" s="282">
        <f t="shared" si="45"/>
        <v>1.3299999999999999E-2</v>
      </c>
      <c r="BG29" s="278"/>
      <c r="BI29" s="279">
        <v>2036</v>
      </c>
      <c r="BJ29" s="278">
        <f t="shared" ref="BJ29:BO29" si="46">P73</f>
        <v>0.28770000000000001</v>
      </c>
      <c r="BK29" s="278">
        <f t="shared" si="46"/>
        <v>735.97360000000003</v>
      </c>
      <c r="BL29" s="278">
        <f t="shared" si="46"/>
        <v>0.17960000000000001</v>
      </c>
      <c r="BM29" s="278">
        <f t="shared" si="46"/>
        <v>2.5999999999999999E-3</v>
      </c>
      <c r="BN29" s="278">
        <f t="shared" si="46"/>
        <v>7.1000000000000004E-3</v>
      </c>
      <c r="BO29" s="282">
        <f t="shared" si="46"/>
        <v>1.4999999999999999E-2</v>
      </c>
      <c r="BP29" s="278"/>
      <c r="BR29" s="279">
        <v>2036</v>
      </c>
      <c r="BS29" s="278">
        <f t="shared" ref="BS29:BX29" si="47">P74</f>
        <v>0.27910000000000001</v>
      </c>
      <c r="BT29" s="278">
        <f t="shared" si="47"/>
        <v>779.29840000000002</v>
      </c>
      <c r="BU29" s="278">
        <f t="shared" si="47"/>
        <v>0.1933</v>
      </c>
      <c r="BV29" s="278">
        <f t="shared" si="47"/>
        <v>2.7000000000000001E-3</v>
      </c>
      <c r="BW29" s="278">
        <f t="shared" si="47"/>
        <v>7.4999999999999997E-3</v>
      </c>
      <c r="BX29" s="282">
        <f t="shared" si="47"/>
        <v>1.5900000000000001E-2</v>
      </c>
    </row>
    <row r="30" spans="2:76" x14ac:dyDescent="0.25">
      <c r="B30" s="254"/>
      <c r="C30" s="270"/>
      <c r="D30" s="270">
        <v>25</v>
      </c>
      <c r="E30" s="271">
        <v>2.3864000000000001</v>
      </c>
      <c r="F30" s="272">
        <v>827.71500000000003</v>
      </c>
      <c r="G30" s="273">
        <v>1.573</v>
      </c>
      <c r="H30" s="273">
        <v>1.9400000000000001E-2</v>
      </c>
      <c r="I30" s="273">
        <v>8.0999999999999996E-3</v>
      </c>
      <c r="J30" s="274">
        <v>0.1429</v>
      </c>
      <c r="K30" s="257"/>
      <c r="L30" s="250"/>
      <c r="M30" s="254"/>
      <c r="N30" s="275"/>
      <c r="O30" s="270">
        <v>25</v>
      </c>
      <c r="P30" s="271">
        <v>0.73770000000000002</v>
      </c>
      <c r="Q30" s="272">
        <v>666.42470000000003</v>
      </c>
      <c r="R30" s="273">
        <v>0.52839999999999998</v>
      </c>
      <c r="S30" s="273">
        <v>3.0999999999999999E-3</v>
      </c>
      <c r="T30" s="273">
        <v>6.4000000000000003E-3</v>
      </c>
      <c r="U30" s="274">
        <v>4.2000000000000003E-2</v>
      </c>
      <c r="V30" s="257"/>
      <c r="Y30" s="279">
        <v>2037</v>
      </c>
      <c r="Z30" s="278">
        <f>Z29</f>
        <v>0.33879999999999999</v>
      </c>
      <c r="AA30" s="278">
        <f t="shared" ref="AA30:AE30" si="48">AA29</f>
        <v>788.70749999999998</v>
      </c>
      <c r="AB30" s="278">
        <f t="shared" si="48"/>
        <v>0.24329999999999999</v>
      </c>
      <c r="AC30" s="278">
        <f t="shared" si="48"/>
        <v>2.8E-3</v>
      </c>
      <c r="AD30" s="278">
        <f t="shared" si="48"/>
        <v>7.6E-3</v>
      </c>
      <c r="AE30" s="282">
        <f t="shared" si="48"/>
        <v>1.84E-2</v>
      </c>
      <c r="AF30" s="278"/>
      <c r="AH30" s="279">
        <v>2037</v>
      </c>
      <c r="AI30" s="278">
        <f>AI29</f>
        <v>0.32869999999999999</v>
      </c>
      <c r="AJ30" s="278">
        <f t="shared" ref="AJ30:AJ53" si="49">AJ29</f>
        <v>796.59220000000005</v>
      </c>
      <c r="AK30" s="278">
        <f t="shared" ref="AK30:AK53" si="50">AK29</f>
        <v>0.23719999999999999</v>
      </c>
      <c r="AL30" s="278">
        <f t="shared" ref="AL30:AL53" si="51">AL29</f>
        <v>2.8E-3</v>
      </c>
      <c r="AM30" s="278">
        <f t="shared" ref="AM30:AM53" si="52">AM29</f>
        <v>7.7000000000000002E-3</v>
      </c>
      <c r="AN30" s="282">
        <f t="shared" ref="AN30:AN53" si="53">AN29</f>
        <v>1.78E-2</v>
      </c>
      <c r="AO30" s="278"/>
      <c r="AQ30" s="279">
        <v>2037</v>
      </c>
      <c r="AR30" s="278">
        <f>AR29</f>
        <v>0.31319999999999998</v>
      </c>
      <c r="AS30" s="278">
        <f t="shared" ref="AS30:AS53" si="54">AS29</f>
        <v>605.9991</v>
      </c>
      <c r="AT30" s="278">
        <f t="shared" ref="AT30:AT53" si="55">AT29</f>
        <v>0.13880000000000001</v>
      </c>
      <c r="AU30" s="278">
        <f t="shared" ref="AU30:AU53" si="56">AU29</f>
        <v>2.0999999999999999E-3</v>
      </c>
      <c r="AV30" s="278">
        <f t="shared" ref="AV30:AV53" si="57">AV29</f>
        <v>5.8999999999999999E-3</v>
      </c>
      <c r="AW30" s="282">
        <f t="shared" ref="AW30:AW53" si="58">AW29</f>
        <v>1.2500000000000001E-2</v>
      </c>
      <c r="AX30" s="278"/>
      <c r="AZ30" s="279">
        <v>2037</v>
      </c>
      <c r="BA30" s="278">
        <f>BA29</f>
        <v>0.30470000000000003</v>
      </c>
      <c r="BB30" s="278">
        <f t="shared" ref="BB30:BB53" si="59">BB29</f>
        <v>649.32389999999998</v>
      </c>
      <c r="BC30" s="278">
        <f t="shared" ref="BC30:BC53" si="60">BC29</f>
        <v>0.15240000000000001</v>
      </c>
      <c r="BD30" s="278">
        <f t="shared" ref="BD30:BD53" si="61">BD29</f>
        <v>2.2000000000000001E-3</v>
      </c>
      <c r="BE30" s="278">
        <f t="shared" ref="BE30:BE53" si="62">BE29</f>
        <v>6.3E-3</v>
      </c>
      <c r="BF30" s="282">
        <f t="shared" ref="BF30:BF53" si="63">BF29</f>
        <v>1.3299999999999999E-2</v>
      </c>
      <c r="BG30" s="278"/>
      <c r="BI30" s="279">
        <v>2037</v>
      </c>
      <c r="BJ30" s="278">
        <f>BJ29</f>
        <v>0.28770000000000001</v>
      </c>
      <c r="BK30" s="278">
        <f t="shared" ref="BK30:BK53" si="64">BK29</f>
        <v>735.97360000000003</v>
      </c>
      <c r="BL30" s="278">
        <f t="shared" ref="BL30:BL53" si="65">BL29</f>
        <v>0.17960000000000001</v>
      </c>
      <c r="BM30" s="278">
        <f t="shared" ref="BM30:BM53" si="66">BM29</f>
        <v>2.5999999999999999E-3</v>
      </c>
      <c r="BN30" s="278">
        <f t="shared" ref="BN30:BN53" si="67">BN29</f>
        <v>7.1000000000000004E-3</v>
      </c>
      <c r="BO30" s="282">
        <f t="shared" ref="BO30:BO53" si="68">BO29</f>
        <v>1.4999999999999999E-2</v>
      </c>
      <c r="BP30" s="278"/>
      <c r="BR30" s="279">
        <v>2037</v>
      </c>
      <c r="BS30" s="278">
        <f>BS29</f>
        <v>0.27910000000000001</v>
      </c>
      <c r="BT30" s="278">
        <f t="shared" ref="BT30:BT53" si="69">BT29</f>
        <v>779.29840000000002</v>
      </c>
      <c r="BU30" s="278">
        <f t="shared" ref="BU30:BU53" si="70">BU29</f>
        <v>0.1933</v>
      </c>
      <c r="BV30" s="278">
        <f t="shared" ref="BV30:BV53" si="71">BV29</f>
        <v>2.7000000000000001E-3</v>
      </c>
      <c r="BW30" s="278">
        <f t="shared" ref="BW30:BW53" si="72">BW29</f>
        <v>7.4999999999999997E-3</v>
      </c>
      <c r="BX30" s="282">
        <f t="shared" ref="BX30:BX53" si="73">BX29</f>
        <v>1.5900000000000001E-2</v>
      </c>
    </row>
    <row r="31" spans="2:76" x14ac:dyDescent="0.25">
      <c r="B31" s="254"/>
      <c r="C31" s="270"/>
      <c r="D31" s="270">
        <v>26</v>
      </c>
      <c r="E31" s="271">
        <v>2.3439999999999999</v>
      </c>
      <c r="F31" s="272">
        <v>810.58399999999995</v>
      </c>
      <c r="G31" s="273">
        <v>1.532</v>
      </c>
      <c r="H31" s="273">
        <v>1.8700000000000001E-2</v>
      </c>
      <c r="I31" s="273">
        <v>8.0000000000000002E-3</v>
      </c>
      <c r="J31" s="274">
        <v>0.13639999999999999</v>
      </c>
      <c r="K31" s="257"/>
      <c r="L31" s="250"/>
      <c r="M31" s="254"/>
      <c r="N31" s="275"/>
      <c r="O31" s="270">
        <v>26</v>
      </c>
      <c r="P31" s="271">
        <v>0.72070000000000001</v>
      </c>
      <c r="Q31" s="272">
        <v>654.11829999999998</v>
      </c>
      <c r="R31" s="273">
        <v>0.49490000000000001</v>
      </c>
      <c r="S31" s="273">
        <v>3.0000000000000001E-3</v>
      </c>
      <c r="T31" s="273">
        <v>6.3E-3</v>
      </c>
      <c r="U31" s="274">
        <v>3.9899999999999998E-2</v>
      </c>
      <c r="V31" s="257"/>
      <c r="Y31" s="279">
        <v>2038</v>
      </c>
      <c r="Z31" s="278">
        <f t="shared" ref="Z31:Z53" si="74">Z30</f>
        <v>0.33879999999999999</v>
      </c>
      <c r="AA31" s="278">
        <f t="shared" ref="AA31:AA53" si="75">AA30</f>
        <v>788.70749999999998</v>
      </c>
      <c r="AB31" s="278">
        <f t="shared" ref="AB31:AB53" si="76">AB30</f>
        <v>0.24329999999999999</v>
      </c>
      <c r="AC31" s="278">
        <f t="shared" ref="AC31:AC53" si="77">AC30</f>
        <v>2.8E-3</v>
      </c>
      <c r="AD31" s="278">
        <f t="shared" ref="AD31:AD53" si="78">AD30</f>
        <v>7.6E-3</v>
      </c>
      <c r="AE31" s="282">
        <f t="shared" ref="AE31:AE53" si="79">AE30</f>
        <v>1.84E-2</v>
      </c>
      <c r="AF31" s="278"/>
      <c r="AH31" s="279">
        <v>2038</v>
      </c>
      <c r="AI31" s="278">
        <f t="shared" ref="AI31:AI53" si="80">AI30</f>
        <v>0.32869999999999999</v>
      </c>
      <c r="AJ31" s="278">
        <f t="shared" si="49"/>
        <v>796.59220000000005</v>
      </c>
      <c r="AK31" s="278">
        <f t="shared" si="50"/>
        <v>0.23719999999999999</v>
      </c>
      <c r="AL31" s="278">
        <f t="shared" si="51"/>
        <v>2.8E-3</v>
      </c>
      <c r="AM31" s="278">
        <f t="shared" si="52"/>
        <v>7.7000000000000002E-3</v>
      </c>
      <c r="AN31" s="282">
        <f t="shared" si="53"/>
        <v>1.78E-2</v>
      </c>
      <c r="AO31" s="278"/>
      <c r="AQ31" s="279">
        <v>2038</v>
      </c>
      <c r="AR31" s="278">
        <f t="shared" ref="AR31:AR53" si="81">AR30</f>
        <v>0.31319999999999998</v>
      </c>
      <c r="AS31" s="278">
        <f t="shared" si="54"/>
        <v>605.9991</v>
      </c>
      <c r="AT31" s="278">
        <f t="shared" si="55"/>
        <v>0.13880000000000001</v>
      </c>
      <c r="AU31" s="278">
        <f t="shared" si="56"/>
        <v>2.0999999999999999E-3</v>
      </c>
      <c r="AV31" s="278">
        <f t="shared" si="57"/>
        <v>5.8999999999999999E-3</v>
      </c>
      <c r="AW31" s="282">
        <f t="shared" si="58"/>
        <v>1.2500000000000001E-2</v>
      </c>
      <c r="AX31" s="278"/>
      <c r="AZ31" s="279">
        <v>2038</v>
      </c>
      <c r="BA31" s="278">
        <f t="shared" ref="BA31:BA53" si="82">BA30</f>
        <v>0.30470000000000003</v>
      </c>
      <c r="BB31" s="278">
        <f t="shared" si="59"/>
        <v>649.32389999999998</v>
      </c>
      <c r="BC31" s="278">
        <f t="shared" si="60"/>
        <v>0.15240000000000001</v>
      </c>
      <c r="BD31" s="278">
        <f t="shared" si="61"/>
        <v>2.2000000000000001E-3</v>
      </c>
      <c r="BE31" s="278">
        <f t="shared" si="62"/>
        <v>6.3E-3</v>
      </c>
      <c r="BF31" s="282">
        <f t="shared" si="63"/>
        <v>1.3299999999999999E-2</v>
      </c>
      <c r="BG31" s="278"/>
      <c r="BI31" s="279">
        <v>2038</v>
      </c>
      <c r="BJ31" s="278">
        <f t="shared" ref="BJ31:BJ53" si="83">BJ30</f>
        <v>0.28770000000000001</v>
      </c>
      <c r="BK31" s="278">
        <f t="shared" si="64"/>
        <v>735.97360000000003</v>
      </c>
      <c r="BL31" s="278">
        <f t="shared" si="65"/>
        <v>0.17960000000000001</v>
      </c>
      <c r="BM31" s="278">
        <f t="shared" si="66"/>
        <v>2.5999999999999999E-3</v>
      </c>
      <c r="BN31" s="278">
        <f t="shared" si="67"/>
        <v>7.1000000000000004E-3</v>
      </c>
      <c r="BO31" s="282">
        <f t="shared" si="68"/>
        <v>1.4999999999999999E-2</v>
      </c>
      <c r="BP31" s="278"/>
      <c r="BR31" s="279">
        <v>2038</v>
      </c>
      <c r="BS31" s="278">
        <f t="shared" ref="BS31:BS53" si="84">BS30</f>
        <v>0.27910000000000001</v>
      </c>
      <c r="BT31" s="278">
        <f t="shared" si="69"/>
        <v>779.29840000000002</v>
      </c>
      <c r="BU31" s="278">
        <f t="shared" si="70"/>
        <v>0.1933</v>
      </c>
      <c r="BV31" s="278">
        <f t="shared" si="71"/>
        <v>2.7000000000000001E-3</v>
      </c>
      <c r="BW31" s="278">
        <f t="shared" si="72"/>
        <v>7.4999999999999997E-3</v>
      </c>
      <c r="BX31" s="282">
        <f t="shared" si="73"/>
        <v>1.5900000000000001E-2</v>
      </c>
    </row>
    <row r="32" spans="2:76" x14ac:dyDescent="0.25">
      <c r="B32" s="254"/>
      <c r="C32" s="270"/>
      <c r="D32" s="270">
        <v>27</v>
      </c>
      <c r="E32" s="271">
        <v>2.3016999999999999</v>
      </c>
      <c r="F32" s="272">
        <v>793.45299999999997</v>
      </c>
      <c r="G32" s="273">
        <v>1.4911000000000001</v>
      </c>
      <c r="H32" s="273">
        <v>1.7999999999999999E-2</v>
      </c>
      <c r="I32" s="273">
        <v>7.7999999999999996E-3</v>
      </c>
      <c r="J32" s="274">
        <v>0.12989999999999999</v>
      </c>
      <c r="K32" s="257"/>
      <c r="L32" s="250"/>
      <c r="M32" s="254"/>
      <c r="N32" s="275"/>
      <c r="O32" s="270">
        <v>27</v>
      </c>
      <c r="P32" s="271">
        <v>0.70379999999999998</v>
      </c>
      <c r="Q32" s="272">
        <v>641.81200000000001</v>
      </c>
      <c r="R32" s="273">
        <v>0.46129999999999999</v>
      </c>
      <c r="S32" s="273">
        <v>2.8999999999999998E-3</v>
      </c>
      <c r="T32" s="273">
        <v>6.1999999999999998E-3</v>
      </c>
      <c r="U32" s="274">
        <v>3.78E-2</v>
      </c>
      <c r="V32" s="257"/>
      <c r="Y32" s="279">
        <v>2039</v>
      </c>
      <c r="Z32" s="278">
        <f t="shared" si="74"/>
        <v>0.33879999999999999</v>
      </c>
      <c r="AA32" s="278">
        <f t="shared" si="75"/>
        <v>788.70749999999998</v>
      </c>
      <c r="AB32" s="278">
        <f t="shared" si="76"/>
        <v>0.24329999999999999</v>
      </c>
      <c r="AC32" s="278">
        <f t="shared" si="77"/>
        <v>2.8E-3</v>
      </c>
      <c r="AD32" s="278">
        <f t="shared" si="78"/>
        <v>7.6E-3</v>
      </c>
      <c r="AE32" s="282">
        <f t="shared" si="79"/>
        <v>1.84E-2</v>
      </c>
      <c r="AF32" s="278"/>
      <c r="AH32" s="279">
        <v>2039</v>
      </c>
      <c r="AI32" s="278">
        <f t="shared" si="80"/>
        <v>0.32869999999999999</v>
      </c>
      <c r="AJ32" s="278">
        <f t="shared" si="49"/>
        <v>796.59220000000005</v>
      </c>
      <c r="AK32" s="278">
        <f t="shared" si="50"/>
        <v>0.23719999999999999</v>
      </c>
      <c r="AL32" s="278">
        <f t="shared" si="51"/>
        <v>2.8E-3</v>
      </c>
      <c r="AM32" s="278">
        <f t="shared" si="52"/>
        <v>7.7000000000000002E-3</v>
      </c>
      <c r="AN32" s="282">
        <f t="shared" si="53"/>
        <v>1.78E-2</v>
      </c>
      <c r="AO32" s="278"/>
      <c r="AQ32" s="279">
        <v>2039</v>
      </c>
      <c r="AR32" s="278">
        <f t="shared" si="81"/>
        <v>0.31319999999999998</v>
      </c>
      <c r="AS32" s="278">
        <f t="shared" si="54"/>
        <v>605.9991</v>
      </c>
      <c r="AT32" s="278">
        <f t="shared" si="55"/>
        <v>0.13880000000000001</v>
      </c>
      <c r="AU32" s="278">
        <f t="shared" si="56"/>
        <v>2.0999999999999999E-3</v>
      </c>
      <c r="AV32" s="278">
        <f t="shared" si="57"/>
        <v>5.8999999999999999E-3</v>
      </c>
      <c r="AW32" s="282">
        <f t="shared" si="58"/>
        <v>1.2500000000000001E-2</v>
      </c>
      <c r="AX32" s="278"/>
      <c r="AZ32" s="279">
        <v>2039</v>
      </c>
      <c r="BA32" s="278">
        <f t="shared" si="82"/>
        <v>0.30470000000000003</v>
      </c>
      <c r="BB32" s="278">
        <f t="shared" si="59"/>
        <v>649.32389999999998</v>
      </c>
      <c r="BC32" s="278">
        <f t="shared" si="60"/>
        <v>0.15240000000000001</v>
      </c>
      <c r="BD32" s="278">
        <f t="shared" si="61"/>
        <v>2.2000000000000001E-3</v>
      </c>
      <c r="BE32" s="278">
        <f t="shared" si="62"/>
        <v>6.3E-3</v>
      </c>
      <c r="BF32" s="282">
        <f t="shared" si="63"/>
        <v>1.3299999999999999E-2</v>
      </c>
      <c r="BG32" s="278"/>
      <c r="BI32" s="279">
        <v>2039</v>
      </c>
      <c r="BJ32" s="278">
        <f t="shared" si="83"/>
        <v>0.28770000000000001</v>
      </c>
      <c r="BK32" s="278">
        <f t="shared" si="64"/>
        <v>735.97360000000003</v>
      </c>
      <c r="BL32" s="278">
        <f t="shared" si="65"/>
        <v>0.17960000000000001</v>
      </c>
      <c r="BM32" s="278">
        <f t="shared" si="66"/>
        <v>2.5999999999999999E-3</v>
      </c>
      <c r="BN32" s="278">
        <f t="shared" si="67"/>
        <v>7.1000000000000004E-3</v>
      </c>
      <c r="BO32" s="282">
        <f t="shared" si="68"/>
        <v>1.4999999999999999E-2</v>
      </c>
      <c r="BP32" s="278"/>
      <c r="BR32" s="279">
        <v>2039</v>
      </c>
      <c r="BS32" s="278">
        <f t="shared" si="84"/>
        <v>0.27910000000000001</v>
      </c>
      <c r="BT32" s="278">
        <f t="shared" si="69"/>
        <v>779.29840000000002</v>
      </c>
      <c r="BU32" s="278">
        <f t="shared" si="70"/>
        <v>0.1933</v>
      </c>
      <c r="BV32" s="278">
        <f t="shared" si="71"/>
        <v>2.7000000000000001E-3</v>
      </c>
      <c r="BW32" s="278">
        <f t="shared" si="72"/>
        <v>7.4999999999999997E-3</v>
      </c>
      <c r="BX32" s="282">
        <f t="shared" si="73"/>
        <v>1.5900000000000001E-2</v>
      </c>
    </row>
    <row r="33" spans="2:76" x14ac:dyDescent="0.25">
      <c r="B33" s="254"/>
      <c r="C33" s="270"/>
      <c r="D33" s="270">
        <v>28</v>
      </c>
      <c r="E33" s="271">
        <v>2.2593000000000001</v>
      </c>
      <c r="F33" s="272">
        <v>776.322</v>
      </c>
      <c r="G33" s="273">
        <v>1.4500999999999999</v>
      </c>
      <c r="H33" s="273">
        <v>1.7299999999999999E-2</v>
      </c>
      <c r="I33" s="273">
        <v>7.6E-3</v>
      </c>
      <c r="J33" s="274">
        <v>0.1234</v>
      </c>
      <c r="K33" s="257"/>
      <c r="L33" s="250"/>
      <c r="M33" s="254"/>
      <c r="N33" s="275"/>
      <c r="O33" s="270">
        <v>28</v>
      </c>
      <c r="P33" s="271">
        <v>0.68689999999999996</v>
      </c>
      <c r="Q33" s="272">
        <v>629.50570000000005</v>
      </c>
      <c r="R33" s="273">
        <v>0.42780000000000001</v>
      </c>
      <c r="S33" s="273">
        <v>2.8E-3</v>
      </c>
      <c r="T33" s="273">
        <v>6.1000000000000004E-3</v>
      </c>
      <c r="U33" s="274">
        <v>3.5799999999999998E-2</v>
      </c>
      <c r="V33" s="257"/>
      <c r="Y33" s="279">
        <v>2040</v>
      </c>
      <c r="Z33" s="278">
        <f t="shared" si="74"/>
        <v>0.33879999999999999</v>
      </c>
      <c r="AA33" s="278">
        <f t="shared" si="75"/>
        <v>788.70749999999998</v>
      </c>
      <c r="AB33" s="278">
        <f t="shared" si="76"/>
        <v>0.24329999999999999</v>
      </c>
      <c r="AC33" s="278">
        <f t="shared" si="77"/>
        <v>2.8E-3</v>
      </c>
      <c r="AD33" s="278">
        <f t="shared" si="78"/>
        <v>7.6E-3</v>
      </c>
      <c r="AE33" s="282">
        <f t="shared" si="79"/>
        <v>1.84E-2</v>
      </c>
      <c r="AF33" s="278"/>
      <c r="AH33" s="279">
        <v>2040</v>
      </c>
      <c r="AI33" s="278">
        <f t="shared" si="80"/>
        <v>0.32869999999999999</v>
      </c>
      <c r="AJ33" s="278">
        <f t="shared" si="49"/>
        <v>796.59220000000005</v>
      </c>
      <c r="AK33" s="278">
        <f t="shared" si="50"/>
        <v>0.23719999999999999</v>
      </c>
      <c r="AL33" s="278">
        <f t="shared" si="51"/>
        <v>2.8E-3</v>
      </c>
      <c r="AM33" s="278">
        <f t="shared" si="52"/>
        <v>7.7000000000000002E-3</v>
      </c>
      <c r="AN33" s="282">
        <f t="shared" si="53"/>
        <v>1.78E-2</v>
      </c>
      <c r="AO33" s="278"/>
      <c r="AQ33" s="279">
        <v>2040</v>
      </c>
      <c r="AR33" s="278">
        <f t="shared" si="81"/>
        <v>0.31319999999999998</v>
      </c>
      <c r="AS33" s="278">
        <f t="shared" si="54"/>
        <v>605.9991</v>
      </c>
      <c r="AT33" s="278">
        <f t="shared" si="55"/>
        <v>0.13880000000000001</v>
      </c>
      <c r="AU33" s="278">
        <f t="shared" si="56"/>
        <v>2.0999999999999999E-3</v>
      </c>
      <c r="AV33" s="278">
        <f t="shared" si="57"/>
        <v>5.8999999999999999E-3</v>
      </c>
      <c r="AW33" s="282">
        <f t="shared" si="58"/>
        <v>1.2500000000000001E-2</v>
      </c>
      <c r="AX33" s="278"/>
      <c r="AZ33" s="279">
        <v>2040</v>
      </c>
      <c r="BA33" s="278">
        <f t="shared" si="82"/>
        <v>0.30470000000000003</v>
      </c>
      <c r="BB33" s="278">
        <f t="shared" si="59"/>
        <v>649.32389999999998</v>
      </c>
      <c r="BC33" s="278">
        <f t="shared" si="60"/>
        <v>0.15240000000000001</v>
      </c>
      <c r="BD33" s="278">
        <f t="shared" si="61"/>
        <v>2.2000000000000001E-3</v>
      </c>
      <c r="BE33" s="278">
        <f t="shared" si="62"/>
        <v>6.3E-3</v>
      </c>
      <c r="BF33" s="282">
        <f t="shared" si="63"/>
        <v>1.3299999999999999E-2</v>
      </c>
      <c r="BG33" s="278"/>
      <c r="BI33" s="279">
        <v>2040</v>
      </c>
      <c r="BJ33" s="278">
        <f t="shared" si="83"/>
        <v>0.28770000000000001</v>
      </c>
      <c r="BK33" s="278">
        <f t="shared" si="64"/>
        <v>735.97360000000003</v>
      </c>
      <c r="BL33" s="278">
        <f t="shared" si="65"/>
        <v>0.17960000000000001</v>
      </c>
      <c r="BM33" s="278">
        <f t="shared" si="66"/>
        <v>2.5999999999999999E-3</v>
      </c>
      <c r="BN33" s="278">
        <f t="shared" si="67"/>
        <v>7.1000000000000004E-3</v>
      </c>
      <c r="BO33" s="282">
        <f t="shared" si="68"/>
        <v>1.4999999999999999E-2</v>
      </c>
      <c r="BP33" s="278"/>
      <c r="BR33" s="279">
        <v>2040</v>
      </c>
      <c r="BS33" s="278">
        <f t="shared" si="84"/>
        <v>0.27910000000000001</v>
      </c>
      <c r="BT33" s="278">
        <f t="shared" si="69"/>
        <v>779.29840000000002</v>
      </c>
      <c r="BU33" s="278">
        <f t="shared" si="70"/>
        <v>0.1933</v>
      </c>
      <c r="BV33" s="278">
        <f t="shared" si="71"/>
        <v>2.7000000000000001E-3</v>
      </c>
      <c r="BW33" s="278">
        <f t="shared" si="72"/>
        <v>7.4999999999999997E-3</v>
      </c>
      <c r="BX33" s="282">
        <f t="shared" si="73"/>
        <v>1.5900000000000001E-2</v>
      </c>
    </row>
    <row r="34" spans="2:76" x14ac:dyDescent="0.25">
      <c r="B34" s="254"/>
      <c r="C34" s="270"/>
      <c r="D34" s="270">
        <v>29</v>
      </c>
      <c r="E34" s="271">
        <v>2.2170000000000001</v>
      </c>
      <c r="F34" s="272">
        <v>759.19100000000003</v>
      </c>
      <c r="G34" s="273">
        <v>1.4092</v>
      </c>
      <c r="H34" s="273">
        <v>1.67E-2</v>
      </c>
      <c r="I34" s="273">
        <v>7.4999999999999997E-3</v>
      </c>
      <c r="J34" s="274">
        <v>0.1169</v>
      </c>
      <c r="K34" s="257"/>
      <c r="L34" s="250"/>
      <c r="M34" s="254"/>
      <c r="N34" s="275"/>
      <c r="O34" s="270">
        <v>29</v>
      </c>
      <c r="P34" s="271">
        <v>0.67</v>
      </c>
      <c r="Q34" s="272">
        <v>617.19939999999997</v>
      </c>
      <c r="R34" s="273">
        <v>0.39419999999999999</v>
      </c>
      <c r="S34" s="273">
        <v>2.5999999999999999E-3</v>
      </c>
      <c r="T34" s="273">
        <v>6.0000000000000001E-3</v>
      </c>
      <c r="U34" s="274">
        <v>3.3700000000000001E-2</v>
      </c>
      <c r="V34" s="257"/>
      <c r="Y34" s="279">
        <v>2041</v>
      </c>
      <c r="Z34" s="278">
        <f t="shared" si="74"/>
        <v>0.33879999999999999</v>
      </c>
      <c r="AA34" s="278">
        <f t="shared" si="75"/>
        <v>788.70749999999998</v>
      </c>
      <c r="AB34" s="278">
        <f t="shared" si="76"/>
        <v>0.24329999999999999</v>
      </c>
      <c r="AC34" s="278">
        <f t="shared" si="77"/>
        <v>2.8E-3</v>
      </c>
      <c r="AD34" s="278">
        <f t="shared" si="78"/>
        <v>7.6E-3</v>
      </c>
      <c r="AE34" s="282">
        <f t="shared" si="79"/>
        <v>1.84E-2</v>
      </c>
      <c r="AF34" s="278"/>
      <c r="AH34" s="279">
        <v>2041</v>
      </c>
      <c r="AI34" s="278">
        <f t="shared" si="80"/>
        <v>0.32869999999999999</v>
      </c>
      <c r="AJ34" s="278">
        <f t="shared" si="49"/>
        <v>796.59220000000005</v>
      </c>
      <c r="AK34" s="278">
        <f t="shared" si="50"/>
        <v>0.23719999999999999</v>
      </c>
      <c r="AL34" s="278">
        <f t="shared" si="51"/>
        <v>2.8E-3</v>
      </c>
      <c r="AM34" s="278">
        <f t="shared" si="52"/>
        <v>7.7000000000000002E-3</v>
      </c>
      <c r="AN34" s="282">
        <f t="shared" si="53"/>
        <v>1.78E-2</v>
      </c>
      <c r="AO34" s="278"/>
      <c r="AQ34" s="279">
        <v>2041</v>
      </c>
      <c r="AR34" s="278">
        <f t="shared" si="81"/>
        <v>0.31319999999999998</v>
      </c>
      <c r="AS34" s="278">
        <f t="shared" si="54"/>
        <v>605.9991</v>
      </c>
      <c r="AT34" s="278">
        <f t="shared" si="55"/>
        <v>0.13880000000000001</v>
      </c>
      <c r="AU34" s="278">
        <f t="shared" si="56"/>
        <v>2.0999999999999999E-3</v>
      </c>
      <c r="AV34" s="278">
        <f t="shared" si="57"/>
        <v>5.8999999999999999E-3</v>
      </c>
      <c r="AW34" s="282">
        <f t="shared" si="58"/>
        <v>1.2500000000000001E-2</v>
      </c>
      <c r="AX34" s="278"/>
      <c r="AZ34" s="279">
        <v>2041</v>
      </c>
      <c r="BA34" s="278">
        <f t="shared" si="82"/>
        <v>0.30470000000000003</v>
      </c>
      <c r="BB34" s="278">
        <f t="shared" si="59"/>
        <v>649.32389999999998</v>
      </c>
      <c r="BC34" s="278">
        <f t="shared" si="60"/>
        <v>0.15240000000000001</v>
      </c>
      <c r="BD34" s="278">
        <f t="shared" si="61"/>
        <v>2.2000000000000001E-3</v>
      </c>
      <c r="BE34" s="278">
        <f t="shared" si="62"/>
        <v>6.3E-3</v>
      </c>
      <c r="BF34" s="282">
        <f t="shared" si="63"/>
        <v>1.3299999999999999E-2</v>
      </c>
      <c r="BG34" s="278"/>
      <c r="BI34" s="279">
        <v>2041</v>
      </c>
      <c r="BJ34" s="278">
        <f t="shared" si="83"/>
        <v>0.28770000000000001</v>
      </c>
      <c r="BK34" s="278">
        <f t="shared" si="64"/>
        <v>735.97360000000003</v>
      </c>
      <c r="BL34" s="278">
        <f t="shared" si="65"/>
        <v>0.17960000000000001</v>
      </c>
      <c r="BM34" s="278">
        <f t="shared" si="66"/>
        <v>2.5999999999999999E-3</v>
      </c>
      <c r="BN34" s="278">
        <f t="shared" si="67"/>
        <v>7.1000000000000004E-3</v>
      </c>
      <c r="BO34" s="282">
        <f t="shared" si="68"/>
        <v>1.4999999999999999E-2</v>
      </c>
      <c r="BP34" s="278"/>
      <c r="BR34" s="279">
        <v>2041</v>
      </c>
      <c r="BS34" s="278">
        <f t="shared" si="84"/>
        <v>0.27910000000000001</v>
      </c>
      <c r="BT34" s="278">
        <f t="shared" si="69"/>
        <v>779.29840000000002</v>
      </c>
      <c r="BU34" s="278">
        <f t="shared" si="70"/>
        <v>0.1933</v>
      </c>
      <c r="BV34" s="278">
        <f t="shared" si="71"/>
        <v>2.7000000000000001E-3</v>
      </c>
      <c r="BW34" s="278">
        <f t="shared" si="72"/>
        <v>7.4999999999999997E-3</v>
      </c>
      <c r="BX34" s="282">
        <f t="shared" si="73"/>
        <v>1.5900000000000001E-2</v>
      </c>
    </row>
    <row r="35" spans="2:76" x14ac:dyDescent="0.25">
      <c r="B35" s="254"/>
      <c r="C35" s="270"/>
      <c r="D35" s="270">
        <v>30</v>
      </c>
      <c r="E35" s="271">
        <v>2.1747000000000001</v>
      </c>
      <c r="F35" s="272">
        <v>742.06</v>
      </c>
      <c r="G35" s="273">
        <v>1.3682000000000001</v>
      </c>
      <c r="H35" s="273">
        <v>1.6E-2</v>
      </c>
      <c r="I35" s="273">
        <v>7.3000000000000001E-3</v>
      </c>
      <c r="J35" s="274">
        <v>0.1104</v>
      </c>
      <c r="K35" s="257"/>
      <c r="L35" s="250"/>
      <c r="M35" s="254"/>
      <c r="N35" s="275"/>
      <c r="O35" s="270">
        <v>30</v>
      </c>
      <c r="P35" s="271">
        <v>0.65310000000000001</v>
      </c>
      <c r="Q35" s="272">
        <v>604.8931</v>
      </c>
      <c r="R35" s="273">
        <v>0.36070000000000002</v>
      </c>
      <c r="S35" s="273">
        <v>2.5000000000000001E-3</v>
      </c>
      <c r="T35" s="273">
        <v>5.7999999999999996E-3</v>
      </c>
      <c r="U35" s="274">
        <v>3.1600000000000003E-2</v>
      </c>
      <c r="V35" s="257"/>
      <c r="Y35" s="279">
        <v>2042</v>
      </c>
      <c r="Z35" s="278">
        <f t="shared" si="74"/>
        <v>0.33879999999999999</v>
      </c>
      <c r="AA35" s="278">
        <f t="shared" si="75"/>
        <v>788.70749999999998</v>
      </c>
      <c r="AB35" s="278">
        <f t="shared" si="76"/>
        <v>0.24329999999999999</v>
      </c>
      <c r="AC35" s="278">
        <f t="shared" si="77"/>
        <v>2.8E-3</v>
      </c>
      <c r="AD35" s="278">
        <f t="shared" si="78"/>
        <v>7.6E-3</v>
      </c>
      <c r="AE35" s="282">
        <f t="shared" si="79"/>
        <v>1.84E-2</v>
      </c>
      <c r="AF35" s="278"/>
      <c r="AH35" s="279">
        <v>2042</v>
      </c>
      <c r="AI35" s="278">
        <f t="shared" si="80"/>
        <v>0.32869999999999999</v>
      </c>
      <c r="AJ35" s="278">
        <f t="shared" si="49"/>
        <v>796.59220000000005</v>
      </c>
      <c r="AK35" s="278">
        <f t="shared" si="50"/>
        <v>0.23719999999999999</v>
      </c>
      <c r="AL35" s="278">
        <f t="shared" si="51"/>
        <v>2.8E-3</v>
      </c>
      <c r="AM35" s="278">
        <f t="shared" si="52"/>
        <v>7.7000000000000002E-3</v>
      </c>
      <c r="AN35" s="282">
        <f t="shared" si="53"/>
        <v>1.78E-2</v>
      </c>
      <c r="AO35" s="278"/>
      <c r="AQ35" s="279">
        <v>2042</v>
      </c>
      <c r="AR35" s="278">
        <f t="shared" si="81"/>
        <v>0.31319999999999998</v>
      </c>
      <c r="AS35" s="278">
        <f t="shared" si="54"/>
        <v>605.9991</v>
      </c>
      <c r="AT35" s="278">
        <f t="shared" si="55"/>
        <v>0.13880000000000001</v>
      </c>
      <c r="AU35" s="278">
        <f t="shared" si="56"/>
        <v>2.0999999999999999E-3</v>
      </c>
      <c r="AV35" s="278">
        <f t="shared" si="57"/>
        <v>5.8999999999999999E-3</v>
      </c>
      <c r="AW35" s="282">
        <f t="shared" si="58"/>
        <v>1.2500000000000001E-2</v>
      </c>
      <c r="AX35" s="278"/>
      <c r="AZ35" s="279">
        <v>2042</v>
      </c>
      <c r="BA35" s="278">
        <f t="shared" si="82"/>
        <v>0.30470000000000003</v>
      </c>
      <c r="BB35" s="278">
        <f t="shared" si="59"/>
        <v>649.32389999999998</v>
      </c>
      <c r="BC35" s="278">
        <f t="shared" si="60"/>
        <v>0.15240000000000001</v>
      </c>
      <c r="BD35" s="278">
        <f t="shared" si="61"/>
        <v>2.2000000000000001E-3</v>
      </c>
      <c r="BE35" s="278">
        <f t="shared" si="62"/>
        <v>6.3E-3</v>
      </c>
      <c r="BF35" s="282">
        <f t="shared" si="63"/>
        <v>1.3299999999999999E-2</v>
      </c>
      <c r="BG35" s="278"/>
      <c r="BI35" s="279">
        <v>2042</v>
      </c>
      <c r="BJ35" s="278">
        <f t="shared" si="83"/>
        <v>0.28770000000000001</v>
      </c>
      <c r="BK35" s="278">
        <f t="shared" si="64"/>
        <v>735.97360000000003</v>
      </c>
      <c r="BL35" s="278">
        <f t="shared" si="65"/>
        <v>0.17960000000000001</v>
      </c>
      <c r="BM35" s="278">
        <f t="shared" si="66"/>
        <v>2.5999999999999999E-3</v>
      </c>
      <c r="BN35" s="278">
        <f t="shared" si="67"/>
        <v>7.1000000000000004E-3</v>
      </c>
      <c r="BO35" s="282">
        <f t="shared" si="68"/>
        <v>1.4999999999999999E-2</v>
      </c>
      <c r="BP35" s="278"/>
      <c r="BR35" s="279">
        <v>2042</v>
      </c>
      <c r="BS35" s="278">
        <f t="shared" si="84"/>
        <v>0.27910000000000001</v>
      </c>
      <c r="BT35" s="278">
        <f t="shared" si="69"/>
        <v>779.29840000000002</v>
      </c>
      <c r="BU35" s="278">
        <f t="shared" si="70"/>
        <v>0.1933</v>
      </c>
      <c r="BV35" s="278">
        <f t="shared" si="71"/>
        <v>2.7000000000000001E-3</v>
      </c>
      <c r="BW35" s="278">
        <f t="shared" si="72"/>
        <v>7.4999999999999997E-3</v>
      </c>
      <c r="BX35" s="282">
        <f t="shared" si="73"/>
        <v>1.5900000000000001E-2</v>
      </c>
    </row>
    <row r="36" spans="2:76" x14ac:dyDescent="0.25">
      <c r="B36" s="254"/>
      <c r="C36" s="270"/>
      <c r="D36" s="270">
        <v>31</v>
      </c>
      <c r="E36" s="271">
        <v>2.1326000000000001</v>
      </c>
      <c r="F36" s="272">
        <v>752.04190000000006</v>
      </c>
      <c r="G36" s="273">
        <v>1.444</v>
      </c>
      <c r="H36" s="273">
        <v>1.6799999999999999E-2</v>
      </c>
      <c r="I36" s="273">
        <v>7.4000000000000003E-3</v>
      </c>
      <c r="J36" s="274">
        <v>0.1096</v>
      </c>
      <c r="K36" s="257"/>
      <c r="L36" s="250"/>
      <c r="M36" s="254"/>
      <c r="N36" s="275"/>
      <c r="O36" s="270">
        <v>31</v>
      </c>
      <c r="P36" s="271">
        <v>0.64580000000000004</v>
      </c>
      <c r="Q36" s="272">
        <v>624.58230000000003</v>
      </c>
      <c r="R36" s="273">
        <v>0.36459999999999998</v>
      </c>
      <c r="S36" s="273">
        <v>2.5000000000000001E-3</v>
      </c>
      <c r="T36" s="273">
        <v>6.0000000000000001E-3</v>
      </c>
      <c r="U36" s="274">
        <v>3.1800000000000002E-2</v>
      </c>
      <c r="V36" s="257"/>
      <c r="Y36" s="279">
        <v>2043</v>
      </c>
      <c r="Z36" s="278">
        <f t="shared" si="74"/>
        <v>0.33879999999999999</v>
      </c>
      <c r="AA36" s="278">
        <f t="shared" si="75"/>
        <v>788.70749999999998</v>
      </c>
      <c r="AB36" s="278">
        <f>AB35</f>
        <v>0.24329999999999999</v>
      </c>
      <c r="AC36" s="278">
        <f t="shared" si="77"/>
        <v>2.8E-3</v>
      </c>
      <c r="AD36" s="278">
        <f t="shared" si="78"/>
        <v>7.6E-3</v>
      </c>
      <c r="AE36" s="282">
        <f t="shared" si="79"/>
        <v>1.84E-2</v>
      </c>
      <c r="AF36" s="278"/>
      <c r="AH36" s="279">
        <v>2043</v>
      </c>
      <c r="AI36" s="278">
        <f t="shared" si="80"/>
        <v>0.32869999999999999</v>
      </c>
      <c r="AJ36" s="278">
        <f t="shared" si="49"/>
        <v>796.59220000000005</v>
      </c>
      <c r="AK36" s="278">
        <f t="shared" si="50"/>
        <v>0.23719999999999999</v>
      </c>
      <c r="AL36" s="278">
        <f t="shared" si="51"/>
        <v>2.8E-3</v>
      </c>
      <c r="AM36" s="278">
        <f t="shared" si="52"/>
        <v>7.7000000000000002E-3</v>
      </c>
      <c r="AN36" s="282">
        <f t="shared" si="53"/>
        <v>1.78E-2</v>
      </c>
      <c r="AO36" s="278"/>
      <c r="AQ36" s="279">
        <v>2043</v>
      </c>
      <c r="AR36" s="278">
        <f t="shared" si="81"/>
        <v>0.31319999999999998</v>
      </c>
      <c r="AS36" s="278">
        <f t="shared" si="54"/>
        <v>605.9991</v>
      </c>
      <c r="AT36" s="278">
        <f t="shared" si="55"/>
        <v>0.13880000000000001</v>
      </c>
      <c r="AU36" s="278">
        <f t="shared" si="56"/>
        <v>2.0999999999999999E-3</v>
      </c>
      <c r="AV36" s="278">
        <f t="shared" si="57"/>
        <v>5.8999999999999999E-3</v>
      </c>
      <c r="AW36" s="282">
        <f t="shared" si="58"/>
        <v>1.2500000000000001E-2</v>
      </c>
      <c r="AX36" s="278"/>
      <c r="AZ36" s="279">
        <v>2043</v>
      </c>
      <c r="BA36" s="278">
        <f t="shared" si="82"/>
        <v>0.30470000000000003</v>
      </c>
      <c r="BB36" s="278">
        <f t="shared" si="59"/>
        <v>649.32389999999998</v>
      </c>
      <c r="BC36" s="278">
        <f t="shared" si="60"/>
        <v>0.15240000000000001</v>
      </c>
      <c r="BD36" s="278">
        <f t="shared" si="61"/>
        <v>2.2000000000000001E-3</v>
      </c>
      <c r="BE36" s="278">
        <f t="shared" si="62"/>
        <v>6.3E-3</v>
      </c>
      <c r="BF36" s="282">
        <f t="shared" si="63"/>
        <v>1.3299999999999999E-2</v>
      </c>
      <c r="BG36" s="278"/>
      <c r="BI36" s="279">
        <v>2043</v>
      </c>
      <c r="BJ36" s="278">
        <f t="shared" si="83"/>
        <v>0.28770000000000001</v>
      </c>
      <c r="BK36" s="278">
        <f t="shared" si="64"/>
        <v>735.97360000000003</v>
      </c>
      <c r="BL36" s="278">
        <f t="shared" si="65"/>
        <v>0.17960000000000001</v>
      </c>
      <c r="BM36" s="278">
        <f t="shared" si="66"/>
        <v>2.5999999999999999E-3</v>
      </c>
      <c r="BN36" s="278">
        <f t="shared" si="67"/>
        <v>7.1000000000000004E-3</v>
      </c>
      <c r="BO36" s="282">
        <f t="shared" si="68"/>
        <v>1.4999999999999999E-2</v>
      </c>
      <c r="BP36" s="278"/>
      <c r="BR36" s="279">
        <v>2043</v>
      </c>
      <c r="BS36" s="278">
        <f t="shared" si="84"/>
        <v>0.27910000000000001</v>
      </c>
      <c r="BT36" s="278">
        <f t="shared" si="69"/>
        <v>779.29840000000002</v>
      </c>
      <c r="BU36" s="278">
        <f t="shared" si="70"/>
        <v>0.1933</v>
      </c>
      <c r="BV36" s="278">
        <f t="shared" si="71"/>
        <v>2.7000000000000001E-3</v>
      </c>
      <c r="BW36" s="278">
        <f t="shared" si="72"/>
        <v>7.4999999999999997E-3</v>
      </c>
      <c r="BX36" s="282">
        <f t="shared" si="73"/>
        <v>1.5900000000000001E-2</v>
      </c>
    </row>
    <row r="37" spans="2:76" x14ac:dyDescent="0.25">
      <c r="B37" s="254"/>
      <c r="C37" s="270"/>
      <c r="D37" s="270">
        <v>32</v>
      </c>
      <c r="E37" s="271">
        <v>2.0905</v>
      </c>
      <c r="F37" s="272">
        <v>762.02380000000005</v>
      </c>
      <c r="G37" s="273">
        <v>1.5198</v>
      </c>
      <c r="H37" s="273">
        <v>1.77E-2</v>
      </c>
      <c r="I37" s="273">
        <v>7.4999999999999997E-3</v>
      </c>
      <c r="J37" s="274">
        <v>0.1087</v>
      </c>
      <c r="K37" s="257"/>
      <c r="L37" s="250"/>
      <c r="M37" s="254"/>
      <c r="N37" s="275"/>
      <c r="O37" s="270">
        <v>32</v>
      </c>
      <c r="P37" s="271">
        <v>0.63859999999999995</v>
      </c>
      <c r="Q37" s="272">
        <v>644.27149999999995</v>
      </c>
      <c r="R37" s="273">
        <v>0.36849999999999999</v>
      </c>
      <c r="S37" s="273">
        <v>2.5999999999999999E-3</v>
      </c>
      <c r="T37" s="273">
        <v>6.1999999999999998E-3</v>
      </c>
      <c r="U37" s="274">
        <v>3.2000000000000001E-2</v>
      </c>
      <c r="V37" s="257"/>
      <c r="Y37" s="279">
        <v>2044</v>
      </c>
      <c r="Z37" s="278">
        <f t="shared" si="74"/>
        <v>0.33879999999999999</v>
      </c>
      <c r="AA37" s="278">
        <f t="shared" si="75"/>
        <v>788.70749999999998</v>
      </c>
      <c r="AB37" s="278">
        <f t="shared" si="76"/>
        <v>0.24329999999999999</v>
      </c>
      <c r="AC37" s="278">
        <f t="shared" si="77"/>
        <v>2.8E-3</v>
      </c>
      <c r="AD37" s="278">
        <f t="shared" si="78"/>
        <v>7.6E-3</v>
      </c>
      <c r="AE37" s="282">
        <f t="shared" si="79"/>
        <v>1.84E-2</v>
      </c>
      <c r="AF37" s="278"/>
      <c r="AH37" s="279">
        <v>2044</v>
      </c>
      <c r="AI37" s="278">
        <f t="shared" si="80"/>
        <v>0.32869999999999999</v>
      </c>
      <c r="AJ37" s="278">
        <f t="shared" si="49"/>
        <v>796.59220000000005</v>
      </c>
      <c r="AK37" s="278">
        <f t="shared" si="50"/>
        <v>0.23719999999999999</v>
      </c>
      <c r="AL37" s="278">
        <f t="shared" si="51"/>
        <v>2.8E-3</v>
      </c>
      <c r="AM37" s="278">
        <f t="shared" si="52"/>
        <v>7.7000000000000002E-3</v>
      </c>
      <c r="AN37" s="282">
        <f t="shared" si="53"/>
        <v>1.78E-2</v>
      </c>
      <c r="AO37" s="278"/>
      <c r="AQ37" s="279">
        <v>2044</v>
      </c>
      <c r="AR37" s="278">
        <f t="shared" si="81"/>
        <v>0.31319999999999998</v>
      </c>
      <c r="AS37" s="278">
        <f t="shared" si="54"/>
        <v>605.9991</v>
      </c>
      <c r="AT37" s="278">
        <f t="shared" si="55"/>
        <v>0.13880000000000001</v>
      </c>
      <c r="AU37" s="278">
        <f t="shared" si="56"/>
        <v>2.0999999999999999E-3</v>
      </c>
      <c r="AV37" s="278">
        <f t="shared" si="57"/>
        <v>5.8999999999999999E-3</v>
      </c>
      <c r="AW37" s="282">
        <f t="shared" si="58"/>
        <v>1.2500000000000001E-2</v>
      </c>
      <c r="AX37" s="278"/>
      <c r="AZ37" s="279">
        <v>2044</v>
      </c>
      <c r="BA37" s="278">
        <f t="shared" si="82"/>
        <v>0.30470000000000003</v>
      </c>
      <c r="BB37" s="278">
        <f t="shared" si="59"/>
        <v>649.32389999999998</v>
      </c>
      <c r="BC37" s="278">
        <f t="shared" si="60"/>
        <v>0.15240000000000001</v>
      </c>
      <c r="BD37" s="278">
        <f t="shared" si="61"/>
        <v>2.2000000000000001E-3</v>
      </c>
      <c r="BE37" s="278">
        <f t="shared" si="62"/>
        <v>6.3E-3</v>
      </c>
      <c r="BF37" s="282">
        <f t="shared" si="63"/>
        <v>1.3299999999999999E-2</v>
      </c>
      <c r="BG37" s="278"/>
      <c r="BI37" s="279">
        <v>2044</v>
      </c>
      <c r="BJ37" s="278">
        <f t="shared" si="83"/>
        <v>0.28770000000000001</v>
      </c>
      <c r="BK37" s="278">
        <f t="shared" si="64"/>
        <v>735.97360000000003</v>
      </c>
      <c r="BL37" s="278">
        <f t="shared" si="65"/>
        <v>0.17960000000000001</v>
      </c>
      <c r="BM37" s="278">
        <f t="shared" si="66"/>
        <v>2.5999999999999999E-3</v>
      </c>
      <c r="BN37" s="278">
        <f t="shared" si="67"/>
        <v>7.1000000000000004E-3</v>
      </c>
      <c r="BO37" s="282">
        <f t="shared" si="68"/>
        <v>1.4999999999999999E-2</v>
      </c>
      <c r="BP37" s="278"/>
      <c r="BR37" s="279">
        <v>2044</v>
      </c>
      <c r="BS37" s="278">
        <f t="shared" si="84"/>
        <v>0.27910000000000001</v>
      </c>
      <c r="BT37" s="278">
        <f t="shared" si="69"/>
        <v>779.29840000000002</v>
      </c>
      <c r="BU37" s="278">
        <f t="shared" si="70"/>
        <v>0.1933</v>
      </c>
      <c r="BV37" s="278">
        <f t="shared" si="71"/>
        <v>2.7000000000000001E-3</v>
      </c>
      <c r="BW37" s="278">
        <f t="shared" si="72"/>
        <v>7.4999999999999997E-3</v>
      </c>
      <c r="BX37" s="282">
        <f t="shared" si="73"/>
        <v>1.5900000000000001E-2</v>
      </c>
    </row>
    <row r="38" spans="2:76" x14ac:dyDescent="0.25">
      <c r="B38" s="254"/>
      <c r="C38" s="270"/>
      <c r="D38" s="270">
        <v>33</v>
      </c>
      <c r="E38" s="271">
        <v>2.0484</v>
      </c>
      <c r="F38" s="272">
        <v>772.00570000000005</v>
      </c>
      <c r="G38" s="273">
        <v>1.5954999999999999</v>
      </c>
      <c r="H38" s="273">
        <v>1.8499999999999999E-2</v>
      </c>
      <c r="I38" s="273">
        <v>7.4999999999999997E-3</v>
      </c>
      <c r="J38" s="274">
        <v>0.1079</v>
      </c>
      <c r="K38" s="257"/>
      <c r="L38" s="250"/>
      <c r="M38" s="254"/>
      <c r="N38" s="275"/>
      <c r="O38" s="270">
        <v>33</v>
      </c>
      <c r="P38" s="271">
        <v>0.63129999999999997</v>
      </c>
      <c r="Q38" s="272">
        <v>663.96069999999997</v>
      </c>
      <c r="R38" s="273">
        <v>0.3725</v>
      </c>
      <c r="S38" s="273">
        <v>2.5999999999999999E-3</v>
      </c>
      <c r="T38" s="273">
        <v>6.3E-3</v>
      </c>
      <c r="U38" s="274">
        <v>3.2199999999999999E-2</v>
      </c>
      <c r="V38" s="257"/>
      <c r="Y38" s="279">
        <v>2045</v>
      </c>
      <c r="Z38" s="278">
        <f t="shared" si="74"/>
        <v>0.33879999999999999</v>
      </c>
      <c r="AA38" s="278">
        <f t="shared" si="75"/>
        <v>788.70749999999998</v>
      </c>
      <c r="AB38" s="278">
        <f t="shared" si="76"/>
        <v>0.24329999999999999</v>
      </c>
      <c r="AC38" s="278">
        <f t="shared" si="77"/>
        <v>2.8E-3</v>
      </c>
      <c r="AD38" s="278">
        <f t="shared" si="78"/>
        <v>7.6E-3</v>
      </c>
      <c r="AE38" s="282">
        <f t="shared" si="79"/>
        <v>1.84E-2</v>
      </c>
      <c r="AF38" s="278"/>
      <c r="AH38" s="279">
        <v>2045</v>
      </c>
      <c r="AI38" s="278">
        <f t="shared" si="80"/>
        <v>0.32869999999999999</v>
      </c>
      <c r="AJ38" s="278">
        <f t="shared" si="49"/>
        <v>796.59220000000005</v>
      </c>
      <c r="AK38" s="278">
        <f t="shared" si="50"/>
        <v>0.23719999999999999</v>
      </c>
      <c r="AL38" s="278">
        <f t="shared" si="51"/>
        <v>2.8E-3</v>
      </c>
      <c r="AM38" s="278">
        <f t="shared" si="52"/>
        <v>7.7000000000000002E-3</v>
      </c>
      <c r="AN38" s="282">
        <f t="shared" si="53"/>
        <v>1.78E-2</v>
      </c>
      <c r="AO38" s="278"/>
      <c r="AQ38" s="279">
        <v>2045</v>
      </c>
      <c r="AR38" s="278">
        <f t="shared" si="81"/>
        <v>0.31319999999999998</v>
      </c>
      <c r="AS38" s="278">
        <f t="shared" si="54"/>
        <v>605.9991</v>
      </c>
      <c r="AT38" s="278">
        <f t="shared" si="55"/>
        <v>0.13880000000000001</v>
      </c>
      <c r="AU38" s="278">
        <f t="shared" si="56"/>
        <v>2.0999999999999999E-3</v>
      </c>
      <c r="AV38" s="278">
        <f t="shared" si="57"/>
        <v>5.8999999999999999E-3</v>
      </c>
      <c r="AW38" s="282">
        <f t="shared" si="58"/>
        <v>1.2500000000000001E-2</v>
      </c>
      <c r="AX38" s="278"/>
      <c r="AZ38" s="279">
        <v>2045</v>
      </c>
      <c r="BA38" s="278">
        <f t="shared" si="82"/>
        <v>0.30470000000000003</v>
      </c>
      <c r="BB38" s="278">
        <f t="shared" si="59"/>
        <v>649.32389999999998</v>
      </c>
      <c r="BC38" s="278">
        <f t="shared" si="60"/>
        <v>0.15240000000000001</v>
      </c>
      <c r="BD38" s="278">
        <f t="shared" si="61"/>
        <v>2.2000000000000001E-3</v>
      </c>
      <c r="BE38" s="278">
        <f t="shared" si="62"/>
        <v>6.3E-3</v>
      </c>
      <c r="BF38" s="282">
        <f t="shared" si="63"/>
        <v>1.3299999999999999E-2</v>
      </c>
      <c r="BG38" s="278"/>
      <c r="BI38" s="279">
        <v>2045</v>
      </c>
      <c r="BJ38" s="278">
        <f t="shared" si="83"/>
        <v>0.28770000000000001</v>
      </c>
      <c r="BK38" s="278">
        <f t="shared" si="64"/>
        <v>735.97360000000003</v>
      </c>
      <c r="BL38" s="278">
        <f t="shared" si="65"/>
        <v>0.17960000000000001</v>
      </c>
      <c r="BM38" s="278">
        <f t="shared" si="66"/>
        <v>2.5999999999999999E-3</v>
      </c>
      <c r="BN38" s="278">
        <f t="shared" si="67"/>
        <v>7.1000000000000004E-3</v>
      </c>
      <c r="BO38" s="282">
        <f t="shared" si="68"/>
        <v>1.4999999999999999E-2</v>
      </c>
      <c r="BP38" s="278"/>
      <c r="BR38" s="279">
        <v>2045</v>
      </c>
      <c r="BS38" s="278">
        <f t="shared" si="84"/>
        <v>0.27910000000000001</v>
      </c>
      <c r="BT38" s="278">
        <f t="shared" si="69"/>
        <v>779.29840000000002</v>
      </c>
      <c r="BU38" s="278">
        <f t="shared" si="70"/>
        <v>0.1933</v>
      </c>
      <c r="BV38" s="278">
        <f t="shared" si="71"/>
        <v>2.7000000000000001E-3</v>
      </c>
      <c r="BW38" s="278">
        <f t="shared" si="72"/>
        <v>7.4999999999999997E-3</v>
      </c>
      <c r="BX38" s="282">
        <f t="shared" si="73"/>
        <v>1.5900000000000001E-2</v>
      </c>
    </row>
    <row r="39" spans="2:76" x14ac:dyDescent="0.25">
      <c r="B39" s="254"/>
      <c r="C39" s="270"/>
      <c r="D39" s="270">
        <v>34</v>
      </c>
      <c r="E39" s="271">
        <v>2.0064000000000002</v>
      </c>
      <c r="F39" s="272">
        <v>781.98770000000002</v>
      </c>
      <c r="G39" s="273">
        <v>1.6713</v>
      </c>
      <c r="H39" s="273">
        <v>1.9400000000000001E-2</v>
      </c>
      <c r="I39" s="273">
        <v>7.6E-3</v>
      </c>
      <c r="J39" s="274">
        <v>0.1071</v>
      </c>
      <c r="K39" s="257"/>
      <c r="L39" s="250"/>
      <c r="M39" s="254"/>
      <c r="N39" s="275"/>
      <c r="O39" s="270">
        <v>34</v>
      </c>
      <c r="P39" s="271">
        <v>0.62409999999999999</v>
      </c>
      <c r="Q39" s="272">
        <v>683.6499</v>
      </c>
      <c r="R39" s="273">
        <v>0.37640000000000001</v>
      </c>
      <c r="S39" s="273">
        <v>2.5999999999999999E-3</v>
      </c>
      <c r="T39" s="273">
        <v>6.4999999999999997E-3</v>
      </c>
      <c r="U39" s="274">
        <v>3.2399999999999998E-2</v>
      </c>
      <c r="V39" s="257"/>
      <c r="Y39" s="279">
        <v>2046</v>
      </c>
      <c r="Z39" s="278">
        <f t="shared" si="74"/>
        <v>0.33879999999999999</v>
      </c>
      <c r="AA39" s="278">
        <f t="shared" si="75"/>
        <v>788.70749999999998</v>
      </c>
      <c r="AB39" s="278">
        <f t="shared" si="76"/>
        <v>0.24329999999999999</v>
      </c>
      <c r="AC39" s="278">
        <f t="shared" si="77"/>
        <v>2.8E-3</v>
      </c>
      <c r="AD39" s="278">
        <f t="shared" si="78"/>
        <v>7.6E-3</v>
      </c>
      <c r="AE39" s="282">
        <f t="shared" si="79"/>
        <v>1.84E-2</v>
      </c>
      <c r="AF39" s="278"/>
      <c r="AH39" s="279">
        <v>2046</v>
      </c>
      <c r="AI39" s="278">
        <f t="shared" si="80"/>
        <v>0.32869999999999999</v>
      </c>
      <c r="AJ39" s="278">
        <f t="shared" si="49"/>
        <v>796.59220000000005</v>
      </c>
      <c r="AK39" s="278">
        <f t="shared" si="50"/>
        <v>0.23719999999999999</v>
      </c>
      <c r="AL39" s="278">
        <f t="shared" si="51"/>
        <v>2.8E-3</v>
      </c>
      <c r="AM39" s="278">
        <f t="shared" si="52"/>
        <v>7.7000000000000002E-3</v>
      </c>
      <c r="AN39" s="282">
        <f t="shared" si="53"/>
        <v>1.78E-2</v>
      </c>
      <c r="AO39" s="278"/>
      <c r="AQ39" s="279">
        <v>2046</v>
      </c>
      <c r="AR39" s="278">
        <f t="shared" si="81"/>
        <v>0.31319999999999998</v>
      </c>
      <c r="AS39" s="278">
        <f t="shared" si="54"/>
        <v>605.9991</v>
      </c>
      <c r="AT39" s="278">
        <f t="shared" si="55"/>
        <v>0.13880000000000001</v>
      </c>
      <c r="AU39" s="278">
        <f t="shared" si="56"/>
        <v>2.0999999999999999E-3</v>
      </c>
      <c r="AV39" s="278">
        <f t="shared" si="57"/>
        <v>5.8999999999999999E-3</v>
      </c>
      <c r="AW39" s="282">
        <f t="shared" si="58"/>
        <v>1.2500000000000001E-2</v>
      </c>
      <c r="AX39" s="278"/>
      <c r="AZ39" s="279">
        <v>2046</v>
      </c>
      <c r="BA39" s="278">
        <f t="shared" si="82"/>
        <v>0.30470000000000003</v>
      </c>
      <c r="BB39" s="278">
        <f t="shared" si="59"/>
        <v>649.32389999999998</v>
      </c>
      <c r="BC39" s="278">
        <f t="shared" si="60"/>
        <v>0.15240000000000001</v>
      </c>
      <c r="BD39" s="278">
        <f t="shared" si="61"/>
        <v>2.2000000000000001E-3</v>
      </c>
      <c r="BE39" s="278">
        <f t="shared" si="62"/>
        <v>6.3E-3</v>
      </c>
      <c r="BF39" s="282">
        <f t="shared" si="63"/>
        <v>1.3299999999999999E-2</v>
      </c>
      <c r="BG39" s="278"/>
      <c r="BI39" s="279">
        <v>2046</v>
      </c>
      <c r="BJ39" s="278">
        <f t="shared" si="83"/>
        <v>0.28770000000000001</v>
      </c>
      <c r="BK39" s="278">
        <f t="shared" si="64"/>
        <v>735.97360000000003</v>
      </c>
      <c r="BL39" s="278">
        <f t="shared" si="65"/>
        <v>0.17960000000000001</v>
      </c>
      <c r="BM39" s="278">
        <f t="shared" si="66"/>
        <v>2.5999999999999999E-3</v>
      </c>
      <c r="BN39" s="278">
        <f t="shared" si="67"/>
        <v>7.1000000000000004E-3</v>
      </c>
      <c r="BO39" s="282">
        <f t="shared" si="68"/>
        <v>1.4999999999999999E-2</v>
      </c>
      <c r="BP39" s="278"/>
      <c r="BR39" s="279">
        <v>2046</v>
      </c>
      <c r="BS39" s="278">
        <f t="shared" si="84"/>
        <v>0.27910000000000001</v>
      </c>
      <c r="BT39" s="278">
        <f t="shared" si="69"/>
        <v>779.29840000000002</v>
      </c>
      <c r="BU39" s="278">
        <f t="shared" si="70"/>
        <v>0.1933</v>
      </c>
      <c r="BV39" s="278">
        <f t="shared" si="71"/>
        <v>2.7000000000000001E-3</v>
      </c>
      <c r="BW39" s="278">
        <f t="shared" si="72"/>
        <v>7.4999999999999997E-3</v>
      </c>
      <c r="BX39" s="282">
        <f t="shared" si="73"/>
        <v>1.5900000000000001E-2</v>
      </c>
    </row>
    <row r="40" spans="2:76" x14ac:dyDescent="0.25">
      <c r="B40" s="254"/>
      <c r="C40" s="270"/>
      <c r="D40" s="270">
        <v>35</v>
      </c>
      <c r="E40" s="271">
        <v>1.9642999999999999</v>
      </c>
      <c r="F40" s="272">
        <v>791.96960000000001</v>
      </c>
      <c r="G40" s="273">
        <v>1.7471000000000001</v>
      </c>
      <c r="H40" s="273">
        <v>2.0199999999999999E-2</v>
      </c>
      <c r="I40" s="273">
        <v>7.7000000000000002E-3</v>
      </c>
      <c r="J40" s="274">
        <v>0.1062</v>
      </c>
      <c r="K40" s="257"/>
      <c r="L40" s="250"/>
      <c r="M40" s="254"/>
      <c r="N40" s="275"/>
      <c r="O40" s="270">
        <v>35</v>
      </c>
      <c r="P40" s="271">
        <v>0.61680000000000001</v>
      </c>
      <c r="Q40" s="272">
        <v>703.33910000000003</v>
      </c>
      <c r="R40" s="273">
        <v>0.38030000000000003</v>
      </c>
      <c r="S40" s="273">
        <v>2.5999999999999999E-3</v>
      </c>
      <c r="T40" s="273">
        <v>6.7000000000000002E-3</v>
      </c>
      <c r="U40" s="274">
        <v>3.2599999999999997E-2</v>
      </c>
      <c r="V40" s="257"/>
      <c r="Y40" s="279">
        <v>2047</v>
      </c>
      <c r="Z40" s="278">
        <f t="shared" si="74"/>
        <v>0.33879999999999999</v>
      </c>
      <c r="AA40" s="278">
        <f t="shared" si="75"/>
        <v>788.70749999999998</v>
      </c>
      <c r="AB40" s="278">
        <f t="shared" si="76"/>
        <v>0.24329999999999999</v>
      </c>
      <c r="AC40" s="278">
        <f t="shared" si="77"/>
        <v>2.8E-3</v>
      </c>
      <c r="AD40" s="278">
        <f t="shared" si="78"/>
        <v>7.6E-3</v>
      </c>
      <c r="AE40" s="282">
        <f t="shared" si="79"/>
        <v>1.84E-2</v>
      </c>
      <c r="AF40" s="278"/>
      <c r="AH40" s="279">
        <v>2047</v>
      </c>
      <c r="AI40" s="278">
        <f t="shared" si="80"/>
        <v>0.32869999999999999</v>
      </c>
      <c r="AJ40" s="278">
        <f t="shared" si="49"/>
        <v>796.59220000000005</v>
      </c>
      <c r="AK40" s="278">
        <f t="shared" si="50"/>
        <v>0.23719999999999999</v>
      </c>
      <c r="AL40" s="278">
        <f t="shared" si="51"/>
        <v>2.8E-3</v>
      </c>
      <c r="AM40" s="278">
        <f t="shared" si="52"/>
        <v>7.7000000000000002E-3</v>
      </c>
      <c r="AN40" s="282">
        <f t="shared" si="53"/>
        <v>1.78E-2</v>
      </c>
      <c r="AO40" s="278"/>
      <c r="AQ40" s="279">
        <v>2047</v>
      </c>
      <c r="AR40" s="278">
        <f t="shared" si="81"/>
        <v>0.31319999999999998</v>
      </c>
      <c r="AS40" s="278">
        <f t="shared" si="54"/>
        <v>605.9991</v>
      </c>
      <c r="AT40" s="278">
        <f t="shared" si="55"/>
        <v>0.13880000000000001</v>
      </c>
      <c r="AU40" s="278">
        <f t="shared" si="56"/>
        <v>2.0999999999999999E-3</v>
      </c>
      <c r="AV40" s="278">
        <f t="shared" si="57"/>
        <v>5.8999999999999999E-3</v>
      </c>
      <c r="AW40" s="282">
        <f t="shared" si="58"/>
        <v>1.2500000000000001E-2</v>
      </c>
      <c r="AX40" s="278"/>
      <c r="AZ40" s="279">
        <v>2047</v>
      </c>
      <c r="BA40" s="278">
        <f t="shared" si="82"/>
        <v>0.30470000000000003</v>
      </c>
      <c r="BB40" s="278">
        <f t="shared" si="59"/>
        <v>649.32389999999998</v>
      </c>
      <c r="BC40" s="278">
        <f t="shared" si="60"/>
        <v>0.15240000000000001</v>
      </c>
      <c r="BD40" s="278">
        <f t="shared" si="61"/>
        <v>2.2000000000000001E-3</v>
      </c>
      <c r="BE40" s="278">
        <f t="shared" si="62"/>
        <v>6.3E-3</v>
      </c>
      <c r="BF40" s="282">
        <f t="shared" si="63"/>
        <v>1.3299999999999999E-2</v>
      </c>
      <c r="BG40" s="278"/>
      <c r="BI40" s="279">
        <v>2047</v>
      </c>
      <c r="BJ40" s="278">
        <f t="shared" si="83"/>
        <v>0.28770000000000001</v>
      </c>
      <c r="BK40" s="278">
        <f t="shared" si="64"/>
        <v>735.97360000000003</v>
      </c>
      <c r="BL40" s="278">
        <f t="shared" si="65"/>
        <v>0.17960000000000001</v>
      </c>
      <c r="BM40" s="278">
        <f t="shared" si="66"/>
        <v>2.5999999999999999E-3</v>
      </c>
      <c r="BN40" s="278">
        <f t="shared" si="67"/>
        <v>7.1000000000000004E-3</v>
      </c>
      <c r="BO40" s="282">
        <f t="shared" si="68"/>
        <v>1.4999999999999999E-2</v>
      </c>
      <c r="BP40" s="278"/>
      <c r="BR40" s="279">
        <v>2047</v>
      </c>
      <c r="BS40" s="278">
        <f t="shared" si="84"/>
        <v>0.27910000000000001</v>
      </c>
      <c r="BT40" s="278">
        <f t="shared" si="69"/>
        <v>779.29840000000002</v>
      </c>
      <c r="BU40" s="278">
        <f t="shared" si="70"/>
        <v>0.1933</v>
      </c>
      <c r="BV40" s="278">
        <f t="shared" si="71"/>
        <v>2.7000000000000001E-3</v>
      </c>
      <c r="BW40" s="278">
        <f t="shared" si="72"/>
        <v>7.4999999999999997E-3</v>
      </c>
      <c r="BX40" s="282">
        <f t="shared" si="73"/>
        <v>1.5900000000000001E-2</v>
      </c>
    </row>
    <row r="41" spans="2:76" x14ac:dyDescent="0.25">
      <c r="B41" s="254"/>
      <c r="C41" s="270"/>
      <c r="D41" s="270">
        <v>36</v>
      </c>
      <c r="E41" s="271">
        <v>1.9353</v>
      </c>
      <c r="F41" s="272">
        <v>788.75580000000002</v>
      </c>
      <c r="G41" s="273">
        <v>1.7522</v>
      </c>
      <c r="H41" s="273">
        <v>2.06E-2</v>
      </c>
      <c r="I41" s="273">
        <v>7.7000000000000002E-3</v>
      </c>
      <c r="J41" s="274">
        <v>0.10390000000000001</v>
      </c>
      <c r="K41" s="257"/>
      <c r="L41" s="250"/>
      <c r="M41" s="254"/>
      <c r="N41" s="275"/>
      <c r="O41" s="270">
        <v>36</v>
      </c>
      <c r="P41" s="271">
        <v>0.59889999999999999</v>
      </c>
      <c r="Q41" s="272">
        <v>704.5951</v>
      </c>
      <c r="R41" s="273">
        <v>0.36659999999999998</v>
      </c>
      <c r="S41" s="273">
        <v>2.5999999999999999E-3</v>
      </c>
      <c r="T41" s="273">
        <v>6.7000000000000002E-3</v>
      </c>
      <c r="U41" s="274">
        <v>3.1399999999999997E-2</v>
      </c>
      <c r="V41" s="257"/>
      <c r="Y41" s="279">
        <v>2048</v>
      </c>
      <c r="Z41" s="278">
        <f t="shared" si="74"/>
        <v>0.33879999999999999</v>
      </c>
      <c r="AA41" s="278">
        <f t="shared" si="75"/>
        <v>788.70749999999998</v>
      </c>
      <c r="AB41" s="278">
        <f t="shared" si="76"/>
        <v>0.24329999999999999</v>
      </c>
      <c r="AC41" s="278">
        <f t="shared" si="77"/>
        <v>2.8E-3</v>
      </c>
      <c r="AD41" s="278">
        <f t="shared" si="78"/>
        <v>7.6E-3</v>
      </c>
      <c r="AE41" s="282">
        <f t="shared" si="79"/>
        <v>1.84E-2</v>
      </c>
      <c r="AF41" s="278"/>
      <c r="AH41" s="279">
        <v>2048</v>
      </c>
      <c r="AI41" s="278">
        <f t="shared" si="80"/>
        <v>0.32869999999999999</v>
      </c>
      <c r="AJ41" s="278">
        <f t="shared" si="49"/>
        <v>796.59220000000005</v>
      </c>
      <c r="AK41" s="278">
        <f t="shared" si="50"/>
        <v>0.23719999999999999</v>
      </c>
      <c r="AL41" s="278">
        <f t="shared" si="51"/>
        <v>2.8E-3</v>
      </c>
      <c r="AM41" s="278">
        <f t="shared" si="52"/>
        <v>7.7000000000000002E-3</v>
      </c>
      <c r="AN41" s="282">
        <f t="shared" si="53"/>
        <v>1.78E-2</v>
      </c>
      <c r="AO41" s="278"/>
      <c r="AQ41" s="279">
        <v>2048</v>
      </c>
      <c r="AR41" s="278">
        <f t="shared" si="81"/>
        <v>0.31319999999999998</v>
      </c>
      <c r="AS41" s="278">
        <f t="shared" si="54"/>
        <v>605.9991</v>
      </c>
      <c r="AT41" s="278">
        <f t="shared" si="55"/>
        <v>0.13880000000000001</v>
      </c>
      <c r="AU41" s="278">
        <f t="shared" si="56"/>
        <v>2.0999999999999999E-3</v>
      </c>
      <c r="AV41" s="278">
        <f t="shared" si="57"/>
        <v>5.8999999999999999E-3</v>
      </c>
      <c r="AW41" s="282">
        <f t="shared" si="58"/>
        <v>1.2500000000000001E-2</v>
      </c>
      <c r="AX41" s="278"/>
      <c r="AZ41" s="279">
        <v>2048</v>
      </c>
      <c r="BA41" s="278">
        <f t="shared" si="82"/>
        <v>0.30470000000000003</v>
      </c>
      <c r="BB41" s="278">
        <f t="shared" si="59"/>
        <v>649.32389999999998</v>
      </c>
      <c r="BC41" s="278">
        <f t="shared" si="60"/>
        <v>0.15240000000000001</v>
      </c>
      <c r="BD41" s="278">
        <f t="shared" si="61"/>
        <v>2.2000000000000001E-3</v>
      </c>
      <c r="BE41" s="278">
        <f t="shared" si="62"/>
        <v>6.3E-3</v>
      </c>
      <c r="BF41" s="282">
        <f t="shared" si="63"/>
        <v>1.3299999999999999E-2</v>
      </c>
      <c r="BG41" s="278"/>
      <c r="BI41" s="279">
        <v>2048</v>
      </c>
      <c r="BJ41" s="278">
        <f t="shared" si="83"/>
        <v>0.28770000000000001</v>
      </c>
      <c r="BK41" s="278">
        <f t="shared" si="64"/>
        <v>735.97360000000003</v>
      </c>
      <c r="BL41" s="278">
        <f t="shared" si="65"/>
        <v>0.17960000000000001</v>
      </c>
      <c r="BM41" s="278">
        <f t="shared" si="66"/>
        <v>2.5999999999999999E-3</v>
      </c>
      <c r="BN41" s="278">
        <f t="shared" si="67"/>
        <v>7.1000000000000004E-3</v>
      </c>
      <c r="BO41" s="282">
        <f t="shared" si="68"/>
        <v>1.4999999999999999E-2</v>
      </c>
      <c r="BP41" s="278"/>
      <c r="BR41" s="279">
        <v>2048</v>
      </c>
      <c r="BS41" s="278">
        <f t="shared" si="84"/>
        <v>0.27910000000000001</v>
      </c>
      <c r="BT41" s="278">
        <f t="shared" si="69"/>
        <v>779.29840000000002</v>
      </c>
      <c r="BU41" s="278">
        <f t="shared" si="70"/>
        <v>0.1933</v>
      </c>
      <c r="BV41" s="278">
        <f t="shared" si="71"/>
        <v>2.7000000000000001E-3</v>
      </c>
      <c r="BW41" s="278">
        <f t="shared" si="72"/>
        <v>7.4999999999999997E-3</v>
      </c>
      <c r="BX41" s="282">
        <f t="shared" si="73"/>
        <v>1.5900000000000001E-2</v>
      </c>
    </row>
    <row r="42" spans="2:76" x14ac:dyDescent="0.25">
      <c r="B42" s="254"/>
      <c r="C42" s="270"/>
      <c r="D42" s="270">
        <v>37</v>
      </c>
      <c r="E42" s="271">
        <v>1.9064000000000001</v>
      </c>
      <c r="F42" s="272">
        <v>785.54200000000003</v>
      </c>
      <c r="G42" s="273">
        <v>1.7573000000000001</v>
      </c>
      <c r="H42" s="273">
        <v>2.1000000000000001E-2</v>
      </c>
      <c r="I42" s="273">
        <v>7.6E-3</v>
      </c>
      <c r="J42" s="274">
        <v>0.10150000000000001</v>
      </c>
      <c r="K42" s="257"/>
      <c r="L42" s="250"/>
      <c r="M42" s="254"/>
      <c r="N42" s="275"/>
      <c r="O42" s="270">
        <v>37</v>
      </c>
      <c r="P42" s="271">
        <v>0.58089999999999997</v>
      </c>
      <c r="Q42" s="272">
        <v>705.85109999999997</v>
      </c>
      <c r="R42" s="273">
        <v>0.35289999999999999</v>
      </c>
      <c r="S42" s="273">
        <v>2.5999999999999999E-3</v>
      </c>
      <c r="T42" s="273">
        <v>6.7000000000000002E-3</v>
      </c>
      <c r="U42" s="274">
        <v>3.0200000000000001E-2</v>
      </c>
      <c r="V42" s="257"/>
      <c r="Y42" s="279">
        <v>2049</v>
      </c>
      <c r="Z42" s="278">
        <f t="shared" si="74"/>
        <v>0.33879999999999999</v>
      </c>
      <c r="AA42" s="278">
        <f t="shared" si="75"/>
        <v>788.70749999999998</v>
      </c>
      <c r="AB42" s="278">
        <f t="shared" si="76"/>
        <v>0.24329999999999999</v>
      </c>
      <c r="AC42" s="278">
        <f t="shared" si="77"/>
        <v>2.8E-3</v>
      </c>
      <c r="AD42" s="278">
        <f t="shared" si="78"/>
        <v>7.6E-3</v>
      </c>
      <c r="AE42" s="282">
        <f t="shared" si="79"/>
        <v>1.84E-2</v>
      </c>
      <c r="AF42" s="278"/>
      <c r="AH42" s="279">
        <v>2049</v>
      </c>
      <c r="AI42" s="278">
        <f t="shared" si="80"/>
        <v>0.32869999999999999</v>
      </c>
      <c r="AJ42" s="278">
        <f t="shared" si="49"/>
        <v>796.59220000000005</v>
      </c>
      <c r="AK42" s="278">
        <f t="shared" si="50"/>
        <v>0.23719999999999999</v>
      </c>
      <c r="AL42" s="278">
        <f t="shared" si="51"/>
        <v>2.8E-3</v>
      </c>
      <c r="AM42" s="278">
        <f t="shared" si="52"/>
        <v>7.7000000000000002E-3</v>
      </c>
      <c r="AN42" s="282">
        <f t="shared" si="53"/>
        <v>1.78E-2</v>
      </c>
      <c r="AO42" s="278"/>
      <c r="AQ42" s="279">
        <v>2049</v>
      </c>
      <c r="AR42" s="278">
        <f t="shared" si="81"/>
        <v>0.31319999999999998</v>
      </c>
      <c r="AS42" s="278">
        <f t="shared" si="54"/>
        <v>605.9991</v>
      </c>
      <c r="AT42" s="278">
        <f t="shared" si="55"/>
        <v>0.13880000000000001</v>
      </c>
      <c r="AU42" s="278">
        <f t="shared" si="56"/>
        <v>2.0999999999999999E-3</v>
      </c>
      <c r="AV42" s="278">
        <f t="shared" si="57"/>
        <v>5.8999999999999999E-3</v>
      </c>
      <c r="AW42" s="282">
        <f t="shared" si="58"/>
        <v>1.2500000000000001E-2</v>
      </c>
      <c r="AX42" s="278"/>
      <c r="AZ42" s="279">
        <v>2049</v>
      </c>
      <c r="BA42" s="278">
        <f t="shared" si="82"/>
        <v>0.30470000000000003</v>
      </c>
      <c r="BB42" s="278">
        <f t="shared" si="59"/>
        <v>649.32389999999998</v>
      </c>
      <c r="BC42" s="278">
        <f t="shared" si="60"/>
        <v>0.15240000000000001</v>
      </c>
      <c r="BD42" s="278">
        <f t="shared" si="61"/>
        <v>2.2000000000000001E-3</v>
      </c>
      <c r="BE42" s="278">
        <f t="shared" si="62"/>
        <v>6.3E-3</v>
      </c>
      <c r="BF42" s="282">
        <f t="shared" si="63"/>
        <v>1.3299999999999999E-2</v>
      </c>
      <c r="BG42" s="278"/>
      <c r="BI42" s="279">
        <v>2049</v>
      </c>
      <c r="BJ42" s="278">
        <f t="shared" si="83"/>
        <v>0.28770000000000001</v>
      </c>
      <c r="BK42" s="278">
        <f t="shared" si="64"/>
        <v>735.97360000000003</v>
      </c>
      <c r="BL42" s="278">
        <f t="shared" si="65"/>
        <v>0.17960000000000001</v>
      </c>
      <c r="BM42" s="278">
        <f t="shared" si="66"/>
        <v>2.5999999999999999E-3</v>
      </c>
      <c r="BN42" s="278">
        <f t="shared" si="67"/>
        <v>7.1000000000000004E-3</v>
      </c>
      <c r="BO42" s="282">
        <f t="shared" si="68"/>
        <v>1.4999999999999999E-2</v>
      </c>
      <c r="BP42" s="278"/>
      <c r="BR42" s="279">
        <v>2049</v>
      </c>
      <c r="BS42" s="278">
        <f t="shared" si="84"/>
        <v>0.27910000000000001</v>
      </c>
      <c r="BT42" s="278">
        <f t="shared" si="69"/>
        <v>779.29840000000002</v>
      </c>
      <c r="BU42" s="278">
        <f t="shared" si="70"/>
        <v>0.1933</v>
      </c>
      <c r="BV42" s="278">
        <f t="shared" si="71"/>
        <v>2.7000000000000001E-3</v>
      </c>
      <c r="BW42" s="278">
        <f t="shared" si="72"/>
        <v>7.4999999999999997E-3</v>
      </c>
      <c r="BX42" s="282">
        <f t="shared" si="73"/>
        <v>1.5900000000000001E-2</v>
      </c>
    </row>
    <row r="43" spans="2:76" x14ac:dyDescent="0.25">
      <c r="B43" s="254"/>
      <c r="C43" s="270"/>
      <c r="D43" s="270">
        <v>38</v>
      </c>
      <c r="E43" s="271">
        <v>1.8774</v>
      </c>
      <c r="F43" s="272">
        <v>782.32820000000004</v>
      </c>
      <c r="G43" s="273">
        <v>1.7624</v>
      </c>
      <c r="H43" s="273">
        <v>2.1299999999999999E-2</v>
      </c>
      <c r="I43" s="273">
        <v>7.6E-3</v>
      </c>
      <c r="J43" s="274">
        <v>9.9099999999999994E-2</v>
      </c>
      <c r="K43" s="257"/>
      <c r="L43" s="250"/>
      <c r="M43" s="254"/>
      <c r="N43" s="275"/>
      <c r="O43" s="270">
        <v>38</v>
      </c>
      <c r="P43" s="271">
        <v>0.56289999999999996</v>
      </c>
      <c r="Q43" s="272">
        <v>707.10709999999995</v>
      </c>
      <c r="R43" s="273">
        <v>0.3392</v>
      </c>
      <c r="S43" s="273">
        <v>2.5999999999999999E-3</v>
      </c>
      <c r="T43" s="273">
        <v>6.7000000000000002E-3</v>
      </c>
      <c r="U43" s="274">
        <v>2.9100000000000001E-2</v>
      </c>
      <c r="V43" s="257"/>
      <c r="Y43" s="279">
        <v>2050</v>
      </c>
      <c r="Z43" s="278">
        <f t="shared" si="74"/>
        <v>0.33879999999999999</v>
      </c>
      <c r="AA43" s="278">
        <f t="shared" si="75"/>
        <v>788.70749999999998</v>
      </c>
      <c r="AB43" s="278">
        <f t="shared" si="76"/>
        <v>0.24329999999999999</v>
      </c>
      <c r="AC43" s="278">
        <f t="shared" si="77"/>
        <v>2.8E-3</v>
      </c>
      <c r="AD43" s="278">
        <f t="shared" si="78"/>
        <v>7.6E-3</v>
      </c>
      <c r="AE43" s="282">
        <f t="shared" si="79"/>
        <v>1.84E-2</v>
      </c>
      <c r="AF43" s="278"/>
      <c r="AH43" s="279">
        <v>2050</v>
      </c>
      <c r="AI43" s="278">
        <f t="shared" si="80"/>
        <v>0.32869999999999999</v>
      </c>
      <c r="AJ43" s="278">
        <f t="shared" si="49"/>
        <v>796.59220000000005</v>
      </c>
      <c r="AK43" s="278">
        <f t="shared" si="50"/>
        <v>0.23719999999999999</v>
      </c>
      <c r="AL43" s="278">
        <f t="shared" si="51"/>
        <v>2.8E-3</v>
      </c>
      <c r="AM43" s="278">
        <f t="shared" si="52"/>
        <v>7.7000000000000002E-3</v>
      </c>
      <c r="AN43" s="282">
        <f t="shared" si="53"/>
        <v>1.78E-2</v>
      </c>
      <c r="AO43" s="278"/>
      <c r="AQ43" s="279">
        <v>2050</v>
      </c>
      <c r="AR43" s="278">
        <f t="shared" si="81"/>
        <v>0.31319999999999998</v>
      </c>
      <c r="AS43" s="278">
        <f t="shared" si="54"/>
        <v>605.9991</v>
      </c>
      <c r="AT43" s="278">
        <f t="shared" si="55"/>
        <v>0.13880000000000001</v>
      </c>
      <c r="AU43" s="278">
        <f t="shared" si="56"/>
        <v>2.0999999999999999E-3</v>
      </c>
      <c r="AV43" s="278">
        <f t="shared" si="57"/>
        <v>5.8999999999999999E-3</v>
      </c>
      <c r="AW43" s="282">
        <f t="shared" si="58"/>
        <v>1.2500000000000001E-2</v>
      </c>
      <c r="AX43" s="278"/>
      <c r="AZ43" s="279">
        <v>2050</v>
      </c>
      <c r="BA43" s="278">
        <f t="shared" si="82"/>
        <v>0.30470000000000003</v>
      </c>
      <c r="BB43" s="278">
        <f t="shared" si="59"/>
        <v>649.32389999999998</v>
      </c>
      <c r="BC43" s="278">
        <f t="shared" si="60"/>
        <v>0.15240000000000001</v>
      </c>
      <c r="BD43" s="278">
        <f t="shared" si="61"/>
        <v>2.2000000000000001E-3</v>
      </c>
      <c r="BE43" s="278">
        <f t="shared" si="62"/>
        <v>6.3E-3</v>
      </c>
      <c r="BF43" s="282">
        <f t="shared" si="63"/>
        <v>1.3299999999999999E-2</v>
      </c>
      <c r="BG43" s="278"/>
      <c r="BI43" s="279">
        <v>2050</v>
      </c>
      <c r="BJ43" s="278">
        <f t="shared" si="83"/>
        <v>0.28770000000000001</v>
      </c>
      <c r="BK43" s="278">
        <f t="shared" si="64"/>
        <v>735.97360000000003</v>
      </c>
      <c r="BL43" s="278">
        <f t="shared" si="65"/>
        <v>0.17960000000000001</v>
      </c>
      <c r="BM43" s="278">
        <f t="shared" si="66"/>
        <v>2.5999999999999999E-3</v>
      </c>
      <c r="BN43" s="278">
        <f t="shared" si="67"/>
        <v>7.1000000000000004E-3</v>
      </c>
      <c r="BO43" s="282">
        <f t="shared" si="68"/>
        <v>1.4999999999999999E-2</v>
      </c>
      <c r="BP43" s="278"/>
      <c r="BR43" s="279">
        <v>2050</v>
      </c>
      <c r="BS43" s="278">
        <f t="shared" si="84"/>
        <v>0.27910000000000001</v>
      </c>
      <c r="BT43" s="278">
        <f t="shared" si="69"/>
        <v>779.29840000000002</v>
      </c>
      <c r="BU43" s="278">
        <f t="shared" si="70"/>
        <v>0.1933</v>
      </c>
      <c r="BV43" s="278">
        <f t="shared" si="71"/>
        <v>2.7000000000000001E-3</v>
      </c>
      <c r="BW43" s="278">
        <f t="shared" si="72"/>
        <v>7.4999999999999997E-3</v>
      </c>
      <c r="BX43" s="282">
        <f t="shared" si="73"/>
        <v>1.5900000000000001E-2</v>
      </c>
    </row>
    <row r="44" spans="2:76" x14ac:dyDescent="0.25">
      <c r="B44" s="254"/>
      <c r="C44" s="270"/>
      <c r="D44" s="270">
        <v>39</v>
      </c>
      <c r="E44" s="271">
        <v>1.8485</v>
      </c>
      <c r="F44" s="272">
        <v>779.11440000000005</v>
      </c>
      <c r="G44" s="273">
        <v>1.7676000000000001</v>
      </c>
      <c r="H44" s="273">
        <v>2.1700000000000001E-2</v>
      </c>
      <c r="I44" s="273">
        <v>7.6E-3</v>
      </c>
      <c r="J44" s="274">
        <v>9.6699999999999994E-2</v>
      </c>
      <c r="K44" s="257"/>
      <c r="L44" s="250"/>
      <c r="M44" s="254"/>
      <c r="N44" s="275"/>
      <c r="O44" s="270">
        <v>39</v>
      </c>
      <c r="P44" s="271">
        <v>0.54500000000000004</v>
      </c>
      <c r="Q44" s="272">
        <v>708.36300000000006</v>
      </c>
      <c r="R44" s="273">
        <v>0.32550000000000001</v>
      </c>
      <c r="S44" s="273">
        <v>2.5000000000000001E-3</v>
      </c>
      <c r="T44" s="273">
        <v>6.7000000000000002E-3</v>
      </c>
      <c r="U44" s="274">
        <v>2.7900000000000001E-2</v>
      </c>
      <c r="V44" s="257"/>
      <c r="Y44" s="279">
        <v>2051</v>
      </c>
      <c r="Z44" s="278">
        <f t="shared" si="74"/>
        <v>0.33879999999999999</v>
      </c>
      <c r="AA44" s="278">
        <f t="shared" si="75"/>
        <v>788.70749999999998</v>
      </c>
      <c r="AB44" s="278">
        <f t="shared" si="76"/>
        <v>0.24329999999999999</v>
      </c>
      <c r="AC44" s="278">
        <f t="shared" si="77"/>
        <v>2.8E-3</v>
      </c>
      <c r="AD44" s="278">
        <f t="shared" si="78"/>
        <v>7.6E-3</v>
      </c>
      <c r="AE44" s="282">
        <f t="shared" si="79"/>
        <v>1.84E-2</v>
      </c>
      <c r="AF44" s="278"/>
      <c r="AH44" s="279">
        <v>2051</v>
      </c>
      <c r="AI44" s="278">
        <f t="shared" si="80"/>
        <v>0.32869999999999999</v>
      </c>
      <c r="AJ44" s="278">
        <f t="shared" si="49"/>
        <v>796.59220000000005</v>
      </c>
      <c r="AK44" s="278">
        <f t="shared" si="50"/>
        <v>0.23719999999999999</v>
      </c>
      <c r="AL44" s="278">
        <f t="shared" si="51"/>
        <v>2.8E-3</v>
      </c>
      <c r="AM44" s="278">
        <f t="shared" si="52"/>
        <v>7.7000000000000002E-3</v>
      </c>
      <c r="AN44" s="282">
        <f t="shared" si="53"/>
        <v>1.78E-2</v>
      </c>
      <c r="AO44" s="278"/>
      <c r="AQ44" s="279">
        <v>2051</v>
      </c>
      <c r="AR44" s="278">
        <f t="shared" si="81"/>
        <v>0.31319999999999998</v>
      </c>
      <c r="AS44" s="278">
        <f t="shared" si="54"/>
        <v>605.9991</v>
      </c>
      <c r="AT44" s="278">
        <f t="shared" si="55"/>
        <v>0.13880000000000001</v>
      </c>
      <c r="AU44" s="278">
        <f t="shared" si="56"/>
        <v>2.0999999999999999E-3</v>
      </c>
      <c r="AV44" s="278">
        <f t="shared" si="57"/>
        <v>5.8999999999999999E-3</v>
      </c>
      <c r="AW44" s="282">
        <f t="shared" si="58"/>
        <v>1.2500000000000001E-2</v>
      </c>
      <c r="AX44" s="278"/>
      <c r="AZ44" s="279">
        <v>2051</v>
      </c>
      <c r="BA44" s="278">
        <f t="shared" si="82"/>
        <v>0.30470000000000003</v>
      </c>
      <c r="BB44" s="278">
        <f t="shared" si="59"/>
        <v>649.32389999999998</v>
      </c>
      <c r="BC44" s="278">
        <f t="shared" si="60"/>
        <v>0.15240000000000001</v>
      </c>
      <c r="BD44" s="278">
        <f t="shared" si="61"/>
        <v>2.2000000000000001E-3</v>
      </c>
      <c r="BE44" s="278">
        <f t="shared" si="62"/>
        <v>6.3E-3</v>
      </c>
      <c r="BF44" s="282">
        <f t="shared" si="63"/>
        <v>1.3299999999999999E-2</v>
      </c>
      <c r="BG44" s="278"/>
      <c r="BI44" s="279">
        <v>2051</v>
      </c>
      <c r="BJ44" s="278">
        <f t="shared" si="83"/>
        <v>0.28770000000000001</v>
      </c>
      <c r="BK44" s="278">
        <f t="shared" si="64"/>
        <v>735.97360000000003</v>
      </c>
      <c r="BL44" s="278">
        <f t="shared" si="65"/>
        <v>0.17960000000000001</v>
      </c>
      <c r="BM44" s="278">
        <f t="shared" si="66"/>
        <v>2.5999999999999999E-3</v>
      </c>
      <c r="BN44" s="278">
        <f t="shared" si="67"/>
        <v>7.1000000000000004E-3</v>
      </c>
      <c r="BO44" s="282">
        <f t="shared" si="68"/>
        <v>1.4999999999999999E-2</v>
      </c>
      <c r="BP44" s="278"/>
      <c r="BR44" s="279">
        <v>2051</v>
      </c>
      <c r="BS44" s="278">
        <f t="shared" si="84"/>
        <v>0.27910000000000001</v>
      </c>
      <c r="BT44" s="278">
        <f t="shared" si="69"/>
        <v>779.29840000000002</v>
      </c>
      <c r="BU44" s="278">
        <f t="shared" si="70"/>
        <v>0.1933</v>
      </c>
      <c r="BV44" s="278">
        <f t="shared" si="71"/>
        <v>2.7000000000000001E-3</v>
      </c>
      <c r="BW44" s="278">
        <f t="shared" si="72"/>
        <v>7.4999999999999997E-3</v>
      </c>
      <c r="BX44" s="282">
        <f t="shared" si="73"/>
        <v>1.5900000000000001E-2</v>
      </c>
    </row>
    <row r="45" spans="2:76" x14ac:dyDescent="0.25">
      <c r="B45" s="254"/>
      <c r="C45" s="270"/>
      <c r="D45" s="270">
        <v>40</v>
      </c>
      <c r="E45" s="271">
        <v>1.8194999999999999</v>
      </c>
      <c r="F45" s="272">
        <v>775.90060000000005</v>
      </c>
      <c r="G45" s="273">
        <v>1.7726999999999999</v>
      </c>
      <c r="H45" s="273">
        <v>2.2100000000000002E-2</v>
      </c>
      <c r="I45" s="273">
        <v>7.4999999999999997E-3</v>
      </c>
      <c r="J45" s="274">
        <v>9.4399999999999998E-2</v>
      </c>
      <c r="K45" s="257"/>
      <c r="L45" s="250"/>
      <c r="M45" s="254"/>
      <c r="N45" s="275"/>
      <c r="O45" s="270">
        <v>40</v>
      </c>
      <c r="P45" s="271">
        <v>0.52700000000000002</v>
      </c>
      <c r="Q45" s="272">
        <v>709.61900000000003</v>
      </c>
      <c r="R45" s="273">
        <v>0.31180000000000002</v>
      </c>
      <c r="S45" s="273">
        <v>2.5000000000000001E-3</v>
      </c>
      <c r="T45" s="273">
        <v>6.7000000000000002E-3</v>
      </c>
      <c r="U45" s="274">
        <v>2.6700000000000002E-2</v>
      </c>
      <c r="V45" s="257"/>
      <c r="Y45" s="279">
        <v>2052</v>
      </c>
      <c r="Z45" s="278">
        <f t="shared" si="74"/>
        <v>0.33879999999999999</v>
      </c>
      <c r="AA45" s="278">
        <f t="shared" si="75"/>
        <v>788.70749999999998</v>
      </c>
      <c r="AB45" s="278">
        <f t="shared" si="76"/>
        <v>0.24329999999999999</v>
      </c>
      <c r="AC45" s="278">
        <f t="shared" si="77"/>
        <v>2.8E-3</v>
      </c>
      <c r="AD45" s="278">
        <f t="shared" si="78"/>
        <v>7.6E-3</v>
      </c>
      <c r="AE45" s="282">
        <f t="shared" si="79"/>
        <v>1.84E-2</v>
      </c>
      <c r="AF45" s="278"/>
      <c r="AH45" s="279">
        <v>2052</v>
      </c>
      <c r="AI45" s="278">
        <f t="shared" si="80"/>
        <v>0.32869999999999999</v>
      </c>
      <c r="AJ45" s="278">
        <f t="shared" si="49"/>
        <v>796.59220000000005</v>
      </c>
      <c r="AK45" s="278">
        <f t="shared" si="50"/>
        <v>0.23719999999999999</v>
      </c>
      <c r="AL45" s="278">
        <f t="shared" si="51"/>
        <v>2.8E-3</v>
      </c>
      <c r="AM45" s="278">
        <f t="shared" si="52"/>
        <v>7.7000000000000002E-3</v>
      </c>
      <c r="AN45" s="282">
        <f t="shared" si="53"/>
        <v>1.78E-2</v>
      </c>
      <c r="AO45" s="278"/>
      <c r="AQ45" s="279">
        <v>2052</v>
      </c>
      <c r="AR45" s="278">
        <f t="shared" si="81"/>
        <v>0.31319999999999998</v>
      </c>
      <c r="AS45" s="278">
        <f t="shared" si="54"/>
        <v>605.9991</v>
      </c>
      <c r="AT45" s="278">
        <f t="shared" si="55"/>
        <v>0.13880000000000001</v>
      </c>
      <c r="AU45" s="278">
        <f t="shared" si="56"/>
        <v>2.0999999999999999E-3</v>
      </c>
      <c r="AV45" s="278">
        <f t="shared" si="57"/>
        <v>5.8999999999999999E-3</v>
      </c>
      <c r="AW45" s="282">
        <f t="shared" si="58"/>
        <v>1.2500000000000001E-2</v>
      </c>
      <c r="AX45" s="278"/>
      <c r="AZ45" s="279">
        <v>2052</v>
      </c>
      <c r="BA45" s="278">
        <f t="shared" si="82"/>
        <v>0.30470000000000003</v>
      </c>
      <c r="BB45" s="278">
        <f t="shared" si="59"/>
        <v>649.32389999999998</v>
      </c>
      <c r="BC45" s="278">
        <f t="shared" si="60"/>
        <v>0.15240000000000001</v>
      </c>
      <c r="BD45" s="278">
        <f t="shared" si="61"/>
        <v>2.2000000000000001E-3</v>
      </c>
      <c r="BE45" s="278">
        <f t="shared" si="62"/>
        <v>6.3E-3</v>
      </c>
      <c r="BF45" s="282">
        <f t="shared" si="63"/>
        <v>1.3299999999999999E-2</v>
      </c>
      <c r="BG45" s="278"/>
      <c r="BI45" s="279">
        <v>2052</v>
      </c>
      <c r="BJ45" s="278">
        <f t="shared" si="83"/>
        <v>0.28770000000000001</v>
      </c>
      <c r="BK45" s="278">
        <f t="shared" si="64"/>
        <v>735.97360000000003</v>
      </c>
      <c r="BL45" s="278">
        <f t="shared" si="65"/>
        <v>0.17960000000000001</v>
      </c>
      <c r="BM45" s="278">
        <f t="shared" si="66"/>
        <v>2.5999999999999999E-3</v>
      </c>
      <c r="BN45" s="278">
        <f t="shared" si="67"/>
        <v>7.1000000000000004E-3</v>
      </c>
      <c r="BO45" s="282">
        <f t="shared" si="68"/>
        <v>1.4999999999999999E-2</v>
      </c>
      <c r="BP45" s="278"/>
      <c r="BR45" s="279">
        <v>2052</v>
      </c>
      <c r="BS45" s="278">
        <f t="shared" si="84"/>
        <v>0.27910000000000001</v>
      </c>
      <c r="BT45" s="278">
        <f t="shared" si="69"/>
        <v>779.29840000000002</v>
      </c>
      <c r="BU45" s="278">
        <f t="shared" si="70"/>
        <v>0.1933</v>
      </c>
      <c r="BV45" s="278">
        <f t="shared" si="71"/>
        <v>2.7000000000000001E-3</v>
      </c>
      <c r="BW45" s="278">
        <f t="shared" si="72"/>
        <v>7.4999999999999997E-3</v>
      </c>
      <c r="BX45" s="282">
        <f t="shared" si="73"/>
        <v>1.5900000000000001E-2</v>
      </c>
    </row>
    <row r="46" spans="2:76" x14ac:dyDescent="0.25">
      <c r="B46" s="254"/>
      <c r="C46" s="270"/>
      <c r="D46" s="270">
        <v>41</v>
      </c>
      <c r="E46" s="271">
        <v>1.7830999999999999</v>
      </c>
      <c r="F46" s="272">
        <v>783.24540000000002</v>
      </c>
      <c r="G46" s="273">
        <v>1.8214999999999999</v>
      </c>
      <c r="H46" s="273">
        <v>2.2800000000000001E-2</v>
      </c>
      <c r="I46" s="273">
        <v>7.6E-3</v>
      </c>
      <c r="J46" s="274">
        <v>9.3399999999999997E-2</v>
      </c>
      <c r="K46" s="257"/>
      <c r="L46" s="250"/>
      <c r="M46" s="254"/>
      <c r="N46" s="275"/>
      <c r="O46" s="270">
        <v>41</v>
      </c>
      <c r="P46" s="271">
        <v>0.51180000000000003</v>
      </c>
      <c r="Q46" s="272">
        <v>720.80370000000005</v>
      </c>
      <c r="R46" s="273">
        <v>0.30769999999999997</v>
      </c>
      <c r="S46" s="273">
        <v>2.5000000000000001E-3</v>
      </c>
      <c r="T46" s="273">
        <v>6.8999999999999999E-3</v>
      </c>
      <c r="U46" s="274">
        <v>2.6200000000000001E-2</v>
      </c>
      <c r="V46" s="257"/>
      <c r="Y46" s="279">
        <v>2053</v>
      </c>
      <c r="Z46" s="278">
        <f t="shared" si="74"/>
        <v>0.33879999999999999</v>
      </c>
      <c r="AA46" s="278">
        <f t="shared" si="75"/>
        <v>788.70749999999998</v>
      </c>
      <c r="AB46" s="278">
        <f t="shared" si="76"/>
        <v>0.24329999999999999</v>
      </c>
      <c r="AC46" s="278">
        <f t="shared" si="77"/>
        <v>2.8E-3</v>
      </c>
      <c r="AD46" s="278">
        <f t="shared" si="78"/>
        <v>7.6E-3</v>
      </c>
      <c r="AE46" s="282">
        <f t="shared" si="79"/>
        <v>1.84E-2</v>
      </c>
      <c r="AF46" s="278"/>
      <c r="AH46" s="279">
        <v>2053</v>
      </c>
      <c r="AI46" s="278">
        <f t="shared" si="80"/>
        <v>0.32869999999999999</v>
      </c>
      <c r="AJ46" s="278">
        <f t="shared" si="49"/>
        <v>796.59220000000005</v>
      </c>
      <c r="AK46" s="278">
        <f t="shared" si="50"/>
        <v>0.23719999999999999</v>
      </c>
      <c r="AL46" s="278">
        <f t="shared" si="51"/>
        <v>2.8E-3</v>
      </c>
      <c r="AM46" s="278">
        <f t="shared" si="52"/>
        <v>7.7000000000000002E-3</v>
      </c>
      <c r="AN46" s="282">
        <f t="shared" si="53"/>
        <v>1.78E-2</v>
      </c>
      <c r="AO46" s="278"/>
      <c r="AQ46" s="279">
        <v>2053</v>
      </c>
      <c r="AR46" s="278">
        <f t="shared" si="81"/>
        <v>0.31319999999999998</v>
      </c>
      <c r="AS46" s="278">
        <f t="shared" si="54"/>
        <v>605.9991</v>
      </c>
      <c r="AT46" s="278">
        <f t="shared" si="55"/>
        <v>0.13880000000000001</v>
      </c>
      <c r="AU46" s="278">
        <f t="shared" si="56"/>
        <v>2.0999999999999999E-3</v>
      </c>
      <c r="AV46" s="278">
        <f t="shared" si="57"/>
        <v>5.8999999999999999E-3</v>
      </c>
      <c r="AW46" s="282">
        <f t="shared" si="58"/>
        <v>1.2500000000000001E-2</v>
      </c>
      <c r="AX46" s="278"/>
      <c r="AZ46" s="279">
        <v>2053</v>
      </c>
      <c r="BA46" s="278">
        <f t="shared" si="82"/>
        <v>0.30470000000000003</v>
      </c>
      <c r="BB46" s="278">
        <f t="shared" si="59"/>
        <v>649.32389999999998</v>
      </c>
      <c r="BC46" s="278">
        <f t="shared" si="60"/>
        <v>0.15240000000000001</v>
      </c>
      <c r="BD46" s="278">
        <f t="shared" si="61"/>
        <v>2.2000000000000001E-3</v>
      </c>
      <c r="BE46" s="278">
        <f t="shared" si="62"/>
        <v>6.3E-3</v>
      </c>
      <c r="BF46" s="282">
        <f t="shared" si="63"/>
        <v>1.3299999999999999E-2</v>
      </c>
      <c r="BG46" s="278"/>
      <c r="BI46" s="279">
        <v>2053</v>
      </c>
      <c r="BJ46" s="278">
        <f t="shared" si="83"/>
        <v>0.28770000000000001</v>
      </c>
      <c r="BK46" s="278">
        <f t="shared" si="64"/>
        <v>735.97360000000003</v>
      </c>
      <c r="BL46" s="278">
        <f t="shared" si="65"/>
        <v>0.17960000000000001</v>
      </c>
      <c r="BM46" s="278">
        <f t="shared" si="66"/>
        <v>2.5999999999999999E-3</v>
      </c>
      <c r="BN46" s="278">
        <f t="shared" si="67"/>
        <v>7.1000000000000004E-3</v>
      </c>
      <c r="BO46" s="282">
        <f t="shared" si="68"/>
        <v>1.4999999999999999E-2</v>
      </c>
      <c r="BP46" s="278"/>
      <c r="BR46" s="279">
        <v>2053</v>
      </c>
      <c r="BS46" s="278">
        <f t="shared" si="84"/>
        <v>0.27910000000000001</v>
      </c>
      <c r="BT46" s="278">
        <f t="shared" si="69"/>
        <v>779.29840000000002</v>
      </c>
      <c r="BU46" s="278">
        <f t="shared" si="70"/>
        <v>0.1933</v>
      </c>
      <c r="BV46" s="278">
        <f t="shared" si="71"/>
        <v>2.7000000000000001E-3</v>
      </c>
      <c r="BW46" s="278">
        <f t="shared" si="72"/>
        <v>7.4999999999999997E-3</v>
      </c>
      <c r="BX46" s="282">
        <f t="shared" si="73"/>
        <v>1.5900000000000001E-2</v>
      </c>
    </row>
    <row r="47" spans="2:76" x14ac:dyDescent="0.25">
      <c r="B47" s="254"/>
      <c r="C47" s="270"/>
      <c r="D47" s="270">
        <v>42</v>
      </c>
      <c r="E47" s="271">
        <v>1.7465999999999999</v>
      </c>
      <c r="F47" s="272">
        <v>790.59019999999998</v>
      </c>
      <c r="G47" s="273">
        <v>1.8703000000000001</v>
      </c>
      <c r="H47" s="273">
        <v>2.3400000000000001E-2</v>
      </c>
      <c r="I47" s="273">
        <v>7.7000000000000002E-3</v>
      </c>
      <c r="J47" s="274">
        <v>9.2299999999999993E-2</v>
      </c>
      <c r="K47" s="257"/>
      <c r="L47" s="250"/>
      <c r="M47" s="254"/>
      <c r="N47" s="275"/>
      <c r="O47" s="270">
        <v>42</v>
      </c>
      <c r="P47" s="271">
        <v>0.4965</v>
      </c>
      <c r="Q47" s="272">
        <v>731.98839999999996</v>
      </c>
      <c r="R47" s="273">
        <v>0.30359999999999998</v>
      </c>
      <c r="S47" s="273">
        <v>2.5999999999999999E-3</v>
      </c>
      <c r="T47" s="273">
        <v>7.0000000000000001E-3</v>
      </c>
      <c r="U47" s="274">
        <v>2.5700000000000001E-2</v>
      </c>
      <c r="V47" s="257"/>
      <c r="Y47" s="279">
        <v>2054</v>
      </c>
      <c r="Z47" s="278">
        <f t="shared" si="74"/>
        <v>0.33879999999999999</v>
      </c>
      <c r="AA47" s="278">
        <f t="shared" si="75"/>
        <v>788.70749999999998</v>
      </c>
      <c r="AB47" s="278">
        <f t="shared" si="76"/>
        <v>0.24329999999999999</v>
      </c>
      <c r="AC47" s="278">
        <f t="shared" si="77"/>
        <v>2.8E-3</v>
      </c>
      <c r="AD47" s="278">
        <f t="shared" si="78"/>
        <v>7.6E-3</v>
      </c>
      <c r="AE47" s="282">
        <f t="shared" si="79"/>
        <v>1.84E-2</v>
      </c>
      <c r="AF47" s="278"/>
      <c r="AH47" s="279">
        <v>2054</v>
      </c>
      <c r="AI47" s="278">
        <f t="shared" si="80"/>
        <v>0.32869999999999999</v>
      </c>
      <c r="AJ47" s="278">
        <f t="shared" si="49"/>
        <v>796.59220000000005</v>
      </c>
      <c r="AK47" s="278">
        <f t="shared" si="50"/>
        <v>0.23719999999999999</v>
      </c>
      <c r="AL47" s="278">
        <f t="shared" si="51"/>
        <v>2.8E-3</v>
      </c>
      <c r="AM47" s="278">
        <f t="shared" si="52"/>
        <v>7.7000000000000002E-3</v>
      </c>
      <c r="AN47" s="282">
        <f t="shared" si="53"/>
        <v>1.78E-2</v>
      </c>
      <c r="AO47" s="278"/>
      <c r="AQ47" s="279">
        <v>2054</v>
      </c>
      <c r="AR47" s="278">
        <f t="shared" si="81"/>
        <v>0.31319999999999998</v>
      </c>
      <c r="AS47" s="278">
        <f t="shared" si="54"/>
        <v>605.9991</v>
      </c>
      <c r="AT47" s="278">
        <f t="shared" si="55"/>
        <v>0.13880000000000001</v>
      </c>
      <c r="AU47" s="278">
        <f t="shared" si="56"/>
        <v>2.0999999999999999E-3</v>
      </c>
      <c r="AV47" s="278">
        <f t="shared" si="57"/>
        <v>5.8999999999999999E-3</v>
      </c>
      <c r="AW47" s="282">
        <f t="shared" si="58"/>
        <v>1.2500000000000001E-2</v>
      </c>
      <c r="AX47" s="278"/>
      <c r="AZ47" s="279">
        <v>2054</v>
      </c>
      <c r="BA47" s="278">
        <f t="shared" si="82"/>
        <v>0.30470000000000003</v>
      </c>
      <c r="BB47" s="278">
        <f t="shared" si="59"/>
        <v>649.32389999999998</v>
      </c>
      <c r="BC47" s="278">
        <f t="shared" si="60"/>
        <v>0.15240000000000001</v>
      </c>
      <c r="BD47" s="278">
        <f t="shared" si="61"/>
        <v>2.2000000000000001E-3</v>
      </c>
      <c r="BE47" s="278">
        <f t="shared" si="62"/>
        <v>6.3E-3</v>
      </c>
      <c r="BF47" s="282">
        <f t="shared" si="63"/>
        <v>1.3299999999999999E-2</v>
      </c>
      <c r="BG47" s="278"/>
      <c r="BI47" s="279">
        <v>2054</v>
      </c>
      <c r="BJ47" s="278">
        <f t="shared" si="83"/>
        <v>0.28770000000000001</v>
      </c>
      <c r="BK47" s="278">
        <f t="shared" si="64"/>
        <v>735.97360000000003</v>
      </c>
      <c r="BL47" s="278">
        <f t="shared" si="65"/>
        <v>0.17960000000000001</v>
      </c>
      <c r="BM47" s="278">
        <f t="shared" si="66"/>
        <v>2.5999999999999999E-3</v>
      </c>
      <c r="BN47" s="278">
        <f t="shared" si="67"/>
        <v>7.1000000000000004E-3</v>
      </c>
      <c r="BO47" s="282">
        <f t="shared" si="68"/>
        <v>1.4999999999999999E-2</v>
      </c>
      <c r="BP47" s="278"/>
      <c r="BR47" s="279">
        <v>2054</v>
      </c>
      <c r="BS47" s="278">
        <f t="shared" si="84"/>
        <v>0.27910000000000001</v>
      </c>
      <c r="BT47" s="278">
        <f t="shared" si="69"/>
        <v>779.29840000000002</v>
      </c>
      <c r="BU47" s="278">
        <f t="shared" si="70"/>
        <v>0.1933</v>
      </c>
      <c r="BV47" s="278">
        <f t="shared" si="71"/>
        <v>2.7000000000000001E-3</v>
      </c>
      <c r="BW47" s="278">
        <f t="shared" si="72"/>
        <v>7.4999999999999997E-3</v>
      </c>
      <c r="BX47" s="282">
        <f t="shared" si="73"/>
        <v>1.5900000000000001E-2</v>
      </c>
    </row>
    <row r="48" spans="2:76" x14ac:dyDescent="0.25">
      <c r="B48" s="254"/>
      <c r="C48" s="270"/>
      <c r="D48" s="270">
        <v>43</v>
      </c>
      <c r="E48" s="271">
        <v>1.7101999999999999</v>
      </c>
      <c r="F48" s="272">
        <v>797.93499999999995</v>
      </c>
      <c r="G48" s="273">
        <v>1.9191</v>
      </c>
      <c r="H48" s="273">
        <v>2.41E-2</v>
      </c>
      <c r="I48" s="273">
        <v>7.7000000000000002E-3</v>
      </c>
      <c r="J48" s="274">
        <v>9.1300000000000006E-2</v>
      </c>
      <c r="K48" s="257"/>
      <c r="L48" s="250"/>
      <c r="M48" s="254"/>
      <c r="N48" s="275"/>
      <c r="O48" s="270">
        <v>43</v>
      </c>
      <c r="P48" s="271">
        <v>0.48130000000000001</v>
      </c>
      <c r="Q48" s="272">
        <v>743.17309999999998</v>
      </c>
      <c r="R48" s="273">
        <v>0.29949999999999999</v>
      </c>
      <c r="S48" s="273">
        <v>2.5999999999999999E-3</v>
      </c>
      <c r="T48" s="273">
        <v>7.1000000000000004E-3</v>
      </c>
      <c r="U48" s="274">
        <v>2.52E-2</v>
      </c>
      <c r="V48" s="257"/>
      <c r="Y48" s="279">
        <v>2055</v>
      </c>
      <c r="Z48" s="278">
        <f t="shared" si="74"/>
        <v>0.33879999999999999</v>
      </c>
      <c r="AA48" s="278">
        <f t="shared" si="75"/>
        <v>788.70749999999998</v>
      </c>
      <c r="AB48" s="278">
        <f t="shared" si="76"/>
        <v>0.24329999999999999</v>
      </c>
      <c r="AC48" s="278">
        <f t="shared" si="77"/>
        <v>2.8E-3</v>
      </c>
      <c r="AD48" s="278">
        <f t="shared" si="78"/>
        <v>7.6E-3</v>
      </c>
      <c r="AE48" s="282">
        <f t="shared" si="79"/>
        <v>1.84E-2</v>
      </c>
      <c r="AF48" s="278"/>
      <c r="AH48" s="279">
        <v>2055</v>
      </c>
      <c r="AI48" s="278">
        <f t="shared" si="80"/>
        <v>0.32869999999999999</v>
      </c>
      <c r="AJ48" s="278">
        <f t="shared" si="49"/>
        <v>796.59220000000005</v>
      </c>
      <c r="AK48" s="278">
        <f t="shared" si="50"/>
        <v>0.23719999999999999</v>
      </c>
      <c r="AL48" s="278">
        <f t="shared" si="51"/>
        <v>2.8E-3</v>
      </c>
      <c r="AM48" s="278">
        <f t="shared" si="52"/>
        <v>7.7000000000000002E-3</v>
      </c>
      <c r="AN48" s="282">
        <f t="shared" si="53"/>
        <v>1.78E-2</v>
      </c>
      <c r="AO48" s="278"/>
      <c r="AQ48" s="279">
        <v>2055</v>
      </c>
      <c r="AR48" s="278">
        <f t="shared" si="81"/>
        <v>0.31319999999999998</v>
      </c>
      <c r="AS48" s="278">
        <f t="shared" si="54"/>
        <v>605.9991</v>
      </c>
      <c r="AT48" s="278">
        <f t="shared" si="55"/>
        <v>0.13880000000000001</v>
      </c>
      <c r="AU48" s="278">
        <f t="shared" si="56"/>
        <v>2.0999999999999999E-3</v>
      </c>
      <c r="AV48" s="278">
        <f t="shared" si="57"/>
        <v>5.8999999999999999E-3</v>
      </c>
      <c r="AW48" s="282">
        <f t="shared" si="58"/>
        <v>1.2500000000000001E-2</v>
      </c>
      <c r="AX48" s="278"/>
      <c r="AZ48" s="279">
        <v>2055</v>
      </c>
      <c r="BA48" s="278">
        <f t="shared" si="82"/>
        <v>0.30470000000000003</v>
      </c>
      <c r="BB48" s="278">
        <f t="shared" si="59"/>
        <v>649.32389999999998</v>
      </c>
      <c r="BC48" s="278">
        <f t="shared" si="60"/>
        <v>0.15240000000000001</v>
      </c>
      <c r="BD48" s="278">
        <f t="shared" si="61"/>
        <v>2.2000000000000001E-3</v>
      </c>
      <c r="BE48" s="278">
        <f t="shared" si="62"/>
        <v>6.3E-3</v>
      </c>
      <c r="BF48" s="282">
        <f t="shared" si="63"/>
        <v>1.3299999999999999E-2</v>
      </c>
      <c r="BG48" s="278"/>
      <c r="BI48" s="279">
        <v>2055</v>
      </c>
      <c r="BJ48" s="278">
        <f t="shared" si="83"/>
        <v>0.28770000000000001</v>
      </c>
      <c r="BK48" s="278">
        <f t="shared" si="64"/>
        <v>735.97360000000003</v>
      </c>
      <c r="BL48" s="278">
        <f t="shared" si="65"/>
        <v>0.17960000000000001</v>
      </c>
      <c r="BM48" s="278">
        <f t="shared" si="66"/>
        <v>2.5999999999999999E-3</v>
      </c>
      <c r="BN48" s="278">
        <f t="shared" si="67"/>
        <v>7.1000000000000004E-3</v>
      </c>
      <c r="BO48" s="282">
        <f t="shared" si="68"/>
        <v>1.4999999999999999E-2</v>
      </c>
      <c r="BP48" s="278"/>
      <c r="BR48" s="279">
        <v>2055</v>
      </c>
      <c r="BS48" s="278">
        <f t="shared" si="84"/>
        <v>0.27910000000000001</v>
      </c>
      <c r="BT48" s="278">
        <f t="shared" si="69"/>
        <v>779.29840000000002</v>
      </c>
      <c r="BU48" s="278">
        <f t="shared" si="70"/>
        <v>0.1933</v>
      </c>
      <c r="BV48" s="278">
        <f t="shared" si="71"/>
        <v>2.7000000000000001E-3</v>
      </c>
      <c r="BW48" s="278">
        <f t="shared" si="72"/>
        <v>7.4999999999999997E-3</v>
      </c>
      <c r="BX48" s="282">
        <f t="shared" si="73"/>
        <v>1.5900000000000001E-2</v>
      </c>
    </row>
    <row r="49" spans="2:76" x14ac:dyDescent="0.25">
      <c r="B49" s="254"/>
      <c r="C49" s="270"/>
      <c r="D49" s="270">
        <v>44</v>
      </c>
      <c r="E49" s="271">
        <v>1.6737</v>
      </c>
      <c r="F49" s="272">
        <v>805.27970000000005</v>
      </c>
      <c r="G49" s="273">
        <v>1.9679</v>
      </c>
      <c r="H49" s="273">
        <v>2.4799999999999999E-2</v>
      </c>
      <c r="I49" s="273">
        <v>7.7999999999999996E-3</v>
      </c>
      <c r="J49" s="274">
        <v>9.0300000000000005E-2</v>
      </c>
      <c r="K49" s="257"/>
      <c r="L49" s="250"/>
      <c r="M49" s="254"/>
      <c r="N49" s="275"/>
      <c r="O49" s="270">
        <v>44</v>
      </c>
      <c r="P49" s="271">
        <v>0.46600000000000003</v>
      </c>
      <c r="Q49" s="272">
        <v>754.3578</v>
      </c>
      <c r="R49" s="273">
        <v>0.2954</v>
      </c>
      <c r="S49" s="273">
        <v>2.5999999999999999E-3</v>
      </c>
      <c r="T49" s="273">
        <v>7.1999999999999998E-3</v>
      </c>
      <c r="U49" s="274">
        <v>2.47E-2</v>
      </c>
      <c r="V49" s="257"/>
      <c r="Y49" s="279">
        <v>2056</v>
      </c>
      <c r="Z49" s="278">
        <f t="shared" si="74"/>
        <v>0.33879999999999999</v>
      </c>
      <c r="AA49" s="278">
        <f t="shared" si="75"/>
        <v>788.70749999999998</v>
      </c>
      <c r="AB49" s="278">
        <f t="shared" si="76"/>
        <v>0.24329999999999999</v>
      </c>
      <c r="AC49" s="278">
        <f t="shared" si="77"/>
        <v>2.8E-3</v>
      </c>
      <c r="AD49" s="278">
        <f t="shared" si="78"/>
        <v>7.6E-3</v>
      </c>
      <c r="AE49" s="282">
        <f t="shared" si="79"/>
        <v>1.84E-2</v>
      </c>
      <c r="AF49" s="278"/>
      <c r="AH49" s="279">
        <v>2056</v>
      </c>
      <c r="AI49" s="278">
        <f t="shared" si="80"/>
        <v>0.32869999999999999</v>
      </c>
      <c r="AJ49" s="278">
        <f t="shared" si="49"/>
        <v>796.59220000000005</v>
      </c>
      <c r="AK49" s="278">
        <f t="shared" si="50"/>
        <v>0.23719999999999999</v>
      </c>
      <c r="AL49" s="278">
        <f t="shared" si="51"/>
        <v>2.8E-3</v>
      </c>
      <c r="AM49" s="278">
        <f t="shared" si="52"/>
        <v>7.7000000000000002E-3</v>
      </c>
      <c r="AN49" s="282">
        <f t="shared" si="53"/>
        <v>1.78E-2</v>
      </c>
      <c r="AO49" s="278"/>
      <c r="AQ49" s="279">
        <v>2056</v>
      </c>
      <c r="AR49" s="278">
        <f t="shared" si="81"/>
        <v>0.31319999999999998</v>
      </c>
      <c r="AS49" s="278">
        <f t="shared" si="54"/>
        <v>605.9991</v>
      </c>
      <c r="AT49" s="278">
        <f t="shared" si="55"/>
        <v>0.13880000000000001</v>
      </c>
      <c r="AU49" s="278">
        <f t="shared" si="56"/>
        <v>2.0999999999999999E-3</v>
      </c>
      <c r="AV49" s="278">
        <f t="shared" si="57"/>
        <v>5.8999999999999999E-3</v>
      </c>
      <c r="AW49" s="282">
        <f t="shared" si="58"/>
        <v>1.2500000000000001E-2</v>
      </c>
      <c r="AX49" s="278"/>
      <c r="AZ49" s="279">
        <v>2056</v>
      </c>
      <c r="BA49" s="278">
        <f t="shared" si="82"/>
        <v>0.30470000000000003</v>
      </c>
      <c r="BB49" s="278">
        <f t="shared" si="59"/>
        <v>649.32389999999998</v>
      </c>
      <c r="BC49" s="278">
        <f t="shared" si="60"/>
        <v>0.15240000000000001</v>
      </c>
      <c r="BD49" s="278">
        <f t="shared" si="61"/>
        <v>2.2000000000000001E-3</v>
      </c>
      <c r="BE49" s="278">
        <f t="shared" si="62"/>
        <v>6.3E-3</v>
      </c>
      <c r="BF49" s="282">
        <f t="shared" si="63"/>
        <v>1.3299999999999999E-2</v>
      </c>
      <c r="BG49" s="278"/>
      <c r="BI49" s="279">
        <v>2056</v>
      </c>
      <c r="BJ49" s="278">
        <f t="shared" si="83"/>
        <v>0.28770000000000001</v>
      </c>
      <c r="BK49" s="278">
        <f t="shared" si="64"/>
        <v>735.97360000000003</v>
      </c>
      <c r="BL49" s="278">
        <f t="shared" si="65"/>
        <v>0.17960000000000001</v>
      </c>
      <c r="BM49" s="278">
        <f t="shared" si="66"/>
        <v>2.5999999999999999E-3</v>
      </c>
      <c r="BN49" s="278">
        <f t="shared" si="67"/>
        <v>7.1000000000000004E-3</v>
      </c>
      <c r="BO49" s="282">
        <f t="shared" si="68"/>
        <v>1.4999999999999999E-2</v>
      </c>
      <c r="BP49" s="278"/>
      <c r="BR49" s="279">
        <v>2056</v>
      </c>
      <c r="BS49" s="278">
        <f t="shared" si="84"/>
        <v>0.27910000000000001</v>
      </c>
      <c r="BT49" s="278">
        <f t="shared" si="69"/>
        <v>779.29840000000002</v>
      </c>
      <c r="BU49" s="278">
        <f t="shared" si="70"/>
        <v>0.1933</v>
      </c>
      <c r="BV49" s="278">
        <f t="shared" si="71"/>
        <v>2.7000000000000001E-3</v>
      </c>
      <c r="BW49" s="278">
        <f t="shared" si="72"/>
        <v>7.4999999999999997E-3</v>
      </c>
      <c r="BX49" s="282">
        <f t="shared" si="73"/>
        <v>1.5900000000000001E-2</v>
      </c>
    </row>
    <row r="50" spans="2:76" x14ac:dyDescent="0.25">
      <c r="B50" s="254"/>
      <c r="C50" s="270"/>
      <c r="D50" s="270">
        <v>45</v>
      </c>
      <c r="E50" s="271">
        <v>1.6373</v>
      </c>
      <c r="F50" s="272">
        <v>812.62450000000001</v>
      </c>
      <c r="G50" s="273">
        <v>2.0167999999999999</v>
      </c>
      <c r="H50" s="273">
        <v>2.5499999999999998E-2</v>
      </c>
      <c r="I50" s="273">
        <v>7.9000000000000008E-3</v>
      </c>
      <c r="J50" s="274">
        <v>8.9300000000000004E-2</v>
      </c>
      <c r="K50" s="257"/>
      <c r="L50" s="250"/>
      <c r="M50" s="254"/>
      <c r="N50" s="275"/>
      <c r="O50" s="270">
        <v>45</v>
      </c>
      <c r="P50" s="271">
        <v>0.45079999999999998</v>
      </c>
      <c r="Q50" s="272">
        <v>765.54250000000002</v>
      </c>
      <c r="R50" s="273">
        <v>0.2913</v>
      </c>
      <c r="S50" s="273">
        <v>2.7000000000000001E-3</v>
      </c>
      <c r="T50" s="273">
        <v>7.3000000000000001E-3</v>
      </c>
      <c r="U50" s="274">
        <v>2.4199999999999999E-2</v>
      </c>
      <c r="V50" s="257"/>
      <c r="Y50" s="279">
        <v>2057</v>
      </c>
      <c r="Z50" s="278">
        <f t="shared" si="74"/>
        <v>0.33879999999999999</v>
      </c>
      <c r="AA50" s="278">
        <f t="shared" si="75"/>
        <v>788.70749999999998</v>
      </c>
      <c r="AB50" s="278">
        <f t="shared" si="76"/>
        <v>0.24329999999999999</v>
      </c>
      <c r="AC50" s="278">
        <f t="shared" si="77"/>
        <v>2.8E-3</v>
      </c>
      <c r="AD50" s="278">
        <f t="shared" si="78"/>
        <v>7.6E-3</v>
      </c>
      <c r="AE50" s="282">
        <f t="shared" si="79"/>
        <v>1.84E-2</v>
      </c>
      <c r="AF50" s="278"/>
      <c r="AH50" s="279">
        <v>2057</v>
      </c>
      <c r="AI50" s="278">
        <f t="shared" si="80"/>
        <v>0.32869999999999999</v>
      </c>
      <c r="AJ50" s="278">
        <f t="shared" si="49"/>
        <v>796.59220000000005</v>
      </c>
      <c r="AK50" s="278">
        <f t="shared" si="50"/>
        <v>0.23719999999999999</v>
      </c>
      <c r="AL50" s="278">
        <f t="shared" si="51"/>
        <v>2.8E-3</v>
      </c>
      <c r="AM50" s="278">
        <f t="shared" si="52"/>
        <v>7.7000000000000002E-3</v>
      </c>
      <c r="AN50" s="282">
        <f t="shared" si="53"/>
        <v>1.78E-2</v>
      </c>
      <c r="AO50" s="278"/>
      <c r="AQ50" s="279">
        <v>2057</v>
      </c>
      <c r="AR50" s="278">
        <f t="shared" si="81"/>
        <v>0.31319999999999998</v>
      </c>
      <c r="AS50" s="278">
        <f t="shared" si="54"/>
        <v>605.9991</v>
      </c>
      <c r="AT50" s="278">
        <f t="shared" si="55"/>
        <v>0.13880000000000001</v>
      </c>
      <c r="AU50" s="278">
        <f t="shared" si="56"/>
        <v>2.0999999999999999E-3</v>
      </c>
      <c r="AV50" s="278">
        <f t="shared" si="57"/>
        <v>5.8999999999999999E-3</v>
      </c>
      <c r="AW50" s="282">
        <f t="shared" si="58"/>
        <v>1.2500000000000001E-2</v>
      </c>
      <c r="AX50" s="278"/>
      <c r="AZ50" s="279">
        <v>2057</v>
      </c>
      <c r="BA50" s="278">
        <f t="shared" si="82"/>
        <v>0.30470000000000003</v>
      </c>
      <c r="BB50" s="278">
        <f t="shared" si="59"/>
        <v>649.32389999999998</v>
      </c>
      <c r="BC50" s="278">
        <f t="shared" si="60"/>
        <v>0.15240000000000001</v>
      </c>
      <c r="BD50" s="278">
        <f t="shared" si="61"/>
        <v>2.2000000000000001E-3</v>
      </c>
      <c r="BE50" s="278">
        <f t="shared" si="62"/>
        <v>6.3E-3</v>
      </c>
      <c r="BF50" s="282">
        <f t="shared" si="63"/>
        <v>1.3299999999999999E-2</v>
      </c>
      <c r="BG50" s="278"/>
      <c r="BI50" s="279">
        <v>2057</v>
      </c>
      <c r="BJ50" s="278">
        <f t="shared" si="83"/>
        <v>0.28770000000000001</v>
      </c>
      <c r="BK50" s="278">
        <f t="shared" si="64"/>
        <v>735.97360000000003</v>
      </c>
      <c r="BL50" s="278">
        <f t="shared" si="65"/>
        <v>0.17960000000000001</v>
      </c>
      <c r="BM50" s="278">
        <f t="shared" si="66"/>
        <v>2.5999999999999999E-3</v>
      </c>
      <c r="BN50" s="278">
        <f t="shared" si="67"/>
        <v>7.1000000000000004E-3</v>
      </c>
      <c r="BO50" s="282">
        <f t="shared" si="68"/>
        <v>1.4999999999999999E-2</v>
      </c>
      <c r="BP50" s="278"/>
      <c r="BR50" s="279">
        <v>2057</v>
      </c>
      <c r="BS50" s="278">
        <f t="shared" si="84"/>
        <v>0.27910000000000001</v>
      </c>
      <c r="BT50" s="278">
        <f t="shared" si="69"/>
        <v>779.29840000000002</v>
      </c>
      <c r="BU50" s="278">
        <f t="shared" si="70"/>
        <v>0.1933</v>
      </c>
      <c r="BV50" s="278">
        <f t="shared" si="71"/>
        <v>2.7000000000000001E-3</v>
      </c>
      <c r="BW50" s="278">
        <f t="shared" si="72"/>
        <v>7.4999999999999997E-3</v>
      </c>
      <c r="BX50" s="282">
        <f t="shared" si="73"/>
        <v>1.5900000000000001E-2</v>
      </c>
    </row>
    <row r="51" spans="2:76" x14ac:dyDescent="0.25">
      <c r="B51" s="254"/>
      <c r="C51" s="270"/>
      <c r="D51" s="270">
        <v>46</v>
      </c>
      <c r="E51" s="271">
        <v>1.6085</v>
      </c>
      <c r="F51" s="272">
        <v>809.08510000000001</v>
      </c>
      <c r="G51" s="273">
        <v>2.0512999999999999</v>
      </c>
      <c r="H51" s="273">
        <v>2.5899999999999999E-2</v>
      </c>
      <c r="I51" s="273">
        <v>7.7999999999999996E-3</v>
      </c>
      <c r="J51" s="274">
        <v>8.8499999999999995E-2</v>
      </c>
      <c r="K51" s="257"/>
      <c r="L51" s="250"/>
      <c r="M51" s="254"/>
      <c r="N51" s="275"/>
      <c r="O51" s="270">
        <v>46</v>
      </c>
      <c r="P51" s="271">
        <v>0.43440000000000001</v>
      </c>
      <c r="Q51" s="272">
        <v>765.44470000000001</v>
      </c>
      <c r="R51" s="273">
        <v>0.2853</v>
      </c>
      <c r="S51" s="273">
        <v>2.7000000000000001E-3</v>
      </c>
      <c r="T51" s="273">
        <v>7.3000000000000001E-3</v>
      </c>
      <c r="U51" s="274">
        <v>2.3400000000000001E-2</v>
      </c>
      <c r="V51" s="257"/>
      <c r="Y51" s="279">
        <v>2058</v>
      </c>
      <c r="Z51" s="278">
        <f t="shared" si="74"/>
        <v>0.33879999999999999</v>
      </c>
      <c r="AA51" s="278">
        <f t="shared" si="75"/>
        <v>788.70749999999998</v>
      </c>
      <c r="AB51" s="278">
        <f t="shared" si="76"/>
        <v>0.24329999999999999</v>
      </c>
      <c r="AC51" s="278">
        <f t="shared" si="77"/>
        <v>2.8E-3</v>
      </c>
      <c r="AD51" s="278">
        <f t="shared" si="78"/>
        <v>7.6E-3</v>
      </c>
      <c r="AE51" s="282">
        <f t="shared" si="79"/>
        <v>1.84E-2</v>
      </c>
      <c r="AF51" s="278"/>
      <c r="AH51" s="279">
        <v>2058</v>
      </c>
      <c r="AI51" s="278">
        <f t="shared" si="80"/>
        <v>0.32869999999999999</v>
      </c>
      <c r="AJ51" s="278">
        <f t="shared" si="49"/>
        <v>796.59220000000005</v>
      </c>
      <c r="AK51" s="278">
        <f t="shared" si="50"/>
        <v>0.23719999999999999</v>
      </c>
      <c r="AL51" s="278">
        <f t="shared" si="51"/>
        <v>2.8E-3</v>
      </c>
      <c r="AM51" s="278">
        <f t="shared" si="52"/>
        <v>7.7000000000000002E-3</v>
      </c>
      <c r="AN51" s="282">
        <f t="shared" si="53"/>
        <v>1.78E-2</v>
      </c>
      <c r="AO51" s="278"/>
      <c r="AQ51" s="279">
        <v>2058</v>
      </c>
      <c r="AR51" s="278">
        <f t="shared" si="81"/>
        <v>0.31319999999999998</v>
      </c>
      <c r="AS51" s="278">
        <f t="shared" si="54"/>
        <v>605.9991</v>
      </c>
      <c r="AT51" s="278">
        <f t="shared" si="55"/>
        <v>0.13880000000000001</v>
      </c>
      <c r="AU51" s="278">
        <f t="shared" si="56"/>
        <v>2.0999999999999999E-3</v>
      </c>
      <c r="AV51" s="278">
        <f t="shared" si="57"/>
        <v>5.8999999999999999E-3</v>
      </c>
      <c r="AW51" s="282">
        <f t="shared" si="58"/>
        <v>1.2500000000000001E-2</v>
      </c>
      <c r="AX51" s="278"/>
      <c r="AZ51" s="279">
        <v>2058</v>
      </c>
      <c r="BA51" s="278">
        <f t="shared" si="82"/>
        <v>0.30470000000000003</v>
      </c>
      <c r="BB51" s="278">
        <f t="shared" si="59"/>
        <v>649.32389999999998</v>
      </c>
      <c r="BC51" s="278">
        <f t="shared" si="60"/>
        <v>0.15240000000000001</v>
      </c>
      <c r="BD51" s="278">
        <f t="shared" si="61"/>
        <v>2.2000000000000001E-3</v>
      </c>
      <c r="BE51" s="278">
        <f t="shared" si="62"/>
        <v>6.3E-3</v>
      </c>
      <c r="BF51" s="282">
        <f t="shared" si="63"/>
        <v>1.3299999999999999E-2</v>
      </c>
      <c r="BG51" s="278"/>
      <c r="BI51" s="279">
        <v>2058</v>
      </c>
      <c r="BJ51" s="278">
        <f t="shared" si="83"/>
        <v>0.28770000000000001</v>
      </c>
      <c r="BK51" s="278">
        <f t="shared" si="64"/>
        <v>735.97360000000003</v>
      </c>
      <c r="BL51" s="278">
        <f t="shared" si="65"/>
        <v>0.17960000000000001</v>
      </c>
      <c r="BM51" s="278">
        <f t="shared" si="66"/>
        <v>2.5999999999999999E-3</v>
      </c>
      <c r="BN51" s="278">
        <f t="shared" si="67"/>
        <v>7.1000000000000004E-3</v>
      </c>
      <c r="BO51" s="282">
        <f t="shared" si="68"/>
        <v>1.4999999999999999E-2</v>
      </c>
      <c r="BP51" s="278"/>
      <c r="BR51" s="279">
        <v>2058</v>
      </c>
      <c r="BS51" s="278">
        <f t="shared" si="84"/>
        <v>0.27910000000000001</v>
      </c>
      <c r="BT51" s="278">
        <f t="shared" si="69"/>
        <v>779.29840000000002</v>
      </c>
      <c r="BU51" s="278">
        <f t="shared" si="70"/>
        <v>0.1933</v>
      </c>
      <c r="BV51" s="278">
        <f t="shared" si="71"/>
        <v>2.7000000000000001E-3</v>
      </c>
      <c r="BW51" s="278">
        <f t="shared" si="72"/>
        <v>7.4999999999999997E-3</v>
      </c>
      <c r="BX51" s="282">
        <f t="shared" si="73"/>
        <v>1.5900000000000001E-2</v>
      </c>
    </row>
    <row r="52" spans="2:76" x14ac:dyDescent="0.25">
      <c r="B52" s="254"/>
      <c r="C52" s="270"/>
      <c r="D52" s="270">
        <v>47</v>
      </c>
      <c r="E52" s="271">
        <v>1.5797000000000001</v>
      </c>
      <c r="F52" s="272">
        <v>805.54560000000004</v>
      </c>
      <c r="G52" s="273">
        <v>2.0859000000000001</v>
      </c>
      <c r="H52" s="273">
        <v>2.64E-2</v>
      </c>
      <c r="I52" s="273">
        <v>7.7999999999999996E-3</v>
      </c>
      <c r="J52" s="274">
        <v>8.7599999999999997E-2</v>
      </c>
      <c r="K52" s="257"/>
      <c r="L52" s="250"/>
      <c r="M52" s="254"/>
      <c r="N52" s="275"/>
      <c r="O52" s="270">
        <v>47</v>
      </c>
      <c r="P52" s="271">
        <v>0.41810000000000003</v>
      </c>
      <c r="Q52" s="272">
        <v>765.34680000000003</v>
      </c>
      <c r="R52" s="273">
        <v>0.27939999999999998</v>
      </c>
      <c r="S52" s="273">
        <v>2.7000000000000001E-3</v>
      </c>
      <c r="T52" s="273">
        <v>7.3000000000000001E-3</v>
      </c>
      <c r="U52" s="274">
        <v>2.2599999999999999E-2</v>
      </c>
      <c r="V52" s="257"/>
      <c r="Y52" s="279">
        <v>2059</v>
      </c>
      <c r="Z52" s="278">
        <f t="shared" si="74"/>
        <v>0.33879999999999999</v>
      </c>
      <c r="AA52" s="278">
        <f t="shared" si="75"/>
        <v>788.70749999999998</v>
      </c>
      <c r="AB52" s="278">
        <f t="shared" si="76"/>
        <v>0.24329999999999999</v>
      </c>
      <c r="AC52" s="278">
        <f t="shared" si="77"/>
        <v>2.8E-3</v>
      </c>
      <c r="AD52" s="278">
        <f t="shared" si="78"/>
        <v>7.6E-3</v>
      </c>
      <c r="AE52" s="282">
        <f t="shared" si="79"/>
        <v>1.84E-2</v>
      </c>
      <c r="AF52" s="278"/>
      <c r="AH52" s="279">
        <v>2059</v>
      </c>
      <c r="AI52" s="278">
        <f t="shared" si="80"/>
        <v>0.32869999999999999</v>
      </c>
      <c r="AJ52" s="278">
        <f t="shared" si="49"/>
        <v>796.59220000000005</v>
      </c>
      <c r="AK52" s="278">
        <f t="shared" si="50"/>
        <v>0.23719999999999999</v>
      </c>
      <c r="AL52" s="278">
        <f t="shared" si="51"/>
        <v>2.8E-3</v>
      </c>
      <c r="AM52" s="278">
        <f t="shared" si="52"/>
        <v>7.7000000000000002E-3</v>
      </c>
      <c r="AN52" s="282">
        <f t="shared" si="53"/>
        <v>1.78E-2</v>
      </c>
      <c r="AO52" s="278"/>
      <c r="AQ52" s="279">
        <v>2059</v>
      </c>
      <c r="AR52" s="278">
        <f t="shared" si="81"/>
        <v>0.31319999999999998</v>
      </c>
      <c r="AS52" s="278">
        <f t="shared" si="54"/>
        <v>605.9991</v>
      </c>
      <c r="AT52" s="278">
        <f t="shared" si="55"/>
        <v>0.13880000000000001</v>
      </c>
      <c r="AU52" s="278">
        <f t="shared" si="56"/>
        <v>2.0999999999999999E-3</v>
      </c>
      <c r="AV52" s="278">
        <f t="shared" si="57"/>
        <v>5.8999999999999999E-3</v>
      </c>
      <c r="AW52" s="282">
        <f t="shared" si="58"/>
        <v>1.2500000000000001E-2</v>
      </c>
      <c r="AX52" s="278"/>
      <c r="AZ52" s="279">
        <v>2059</v>
      </c>
      <c r="BA52" s="278">
        <f t="shared" si="82"/>
        <v>0.30470000000000003</v>
      </c>
      <c r="BB52" s="278">
        <f t="shared" si="59"/>
        <v>649.32389999999998</v>
      </c>
      <c r="BC52" s="278">
        <f t="shared" si="60"/>
        <v>0.15240000000000001</v>
      </c>
      <c r="BD52" s="278">
        <f t="shared" si="61"/>
        <v>2.2000000000000001E-3</v>
      </c>
      <c r="BE52" s="278">
        <f t="shared" si="62"/>
        <v>6.3E-3</v>
      </c>
      <c r="BF52" s="282">
        <f t="shared" si="63"/>
        <v>1.3299999999999999E-2</v>
      </c>
      <c r="BG52" s="278"/>
      <c r="BI52" s="279">
        <v>2059</v>
      </c>
      <c r="BJ52" s="278">
        <f t="shared" si="83"/>
        <v>0.28770000000000001</v>
      </c>
      <c r="BK52" s="278">
        <f t="shared" si="64"/>
        <v>735.97360000000003</v>
      </c>
      <c r="BL52" s="278">
        <f t="shared" si="65"/>
        <v>0.17960000000000001</v>
      </c>
      <c r="BM52" s="278">
        <f t="shared" si="66"/>
        <v>2.5999999999999999E-3</v>
      </c>
      <c r="BN52" s="278">
        <f t="shared" si="67"/>
        <v>7.1000000000000004E-3</v>
      </c>
      <c r="BO52" s="282">
        <f t="shared" si="68"/>
        <v>1.4999999999999999E-2</v>
      </c>
      <c r="BP52" s="278"/>
      <c r="BR52" s="279">
        <v>2059</v>
      </c>
      <c r="BS52" s="278">
        <f t="shared" si="84"/>
        <v>0.27910000000000001</v>
      </c>
      <c r="BT52" s="278">
        <f t="shared" si="69"/>
        <v>779.29840000000002</v>
      </c>
      <c r="BU52" s="278">
        <f t="shared" si="70"/>
        <v>0.1933</v>
      </c>
      <c r="BV52" s="278">
        <f t="shared" si="71"/>
        <v>2.7000000000000001E-3</v>
      </c>
      <c r="BW52" s="278">
        <f t="shared" si="72"/>
        <v>7.4999999999999997E-3</v>
      </c>
      <c r="BX52" s="282">
        <f t="shared" si="73"/>
        <v>1.5900000000000001E-2</v>
      </c>
    </row>
    <row r="53" spans="2:76" x14ac:dyDescent="0.25">
      <c r="B53" s="254"/>
      <c r="C53" s="270"/>
      <c r="D53" s="270">
        <v>48</v>
      </c>
      <c r="E53" s="271">
        <v>1.5509999999999999</v>
      </c>
      <c r="F53" s="272">
        <v>802.00620000000004</v>
      </c>
      <c r="G53" s="273">
        <v>2.1204999999999998</v>
      </c>
      <c r="H53" s="273">
        <v>2.6800000000000001E-2</v>
      </c>
      <c r="I53" s="273">
        <v>7.7999999999999996E-3</v>
      </c>
      <c r="J53" s="274">
        <v>8.6800000000000002E-2</v>
      </c>
      <c r="K53" s="257"/>
      <c r="L53" s="250"/>
      <c r="M53" s="254"/>
      <c r="N53" s="275"/>
      <c r="O53" s="270">
        <v>48</v>
      </c>
      <c r="P53" s="271">
        <v>0.4017</v>
      </c>
      <c r="Q53" s="272">
        <v>765.24900000000002</v>
      </c>
      <c r="R53" s="273">
        <v>0.27339999999999998</v>
      </c>
      <c r="S53" s="273">
        <v>2.8E-3</v>
      </c>
      <c r="T53" s="273">
        <v>7.3000000000000001E-3</v>
      </c>
      <c r="U53" s="274">
        <v>2.18E-2</v>
      </c>
      <c r="V53" s="257"/>
      <c r="Y53" s="283">
        <v>2060</v>
      </c>
      <c r="Z53" s="284">
        <f t="shared" si="74"/>
        <v>0.33879999999999999</v>
      </c>
      <c r="AA53" s="284">
        <f t="shared" si="75"/>
        <v>788.70749999999998</v>
      </c>
      <c r="AB53" s="284">
        <f t="shared" si="76"/>
        <v>0.24329999999999999</v>
      </c>
      <c r="AC53" s="284">
        <f t="shared" si="77"/>
        <v>2.8E-3</v>
      </c>
      <c r="AD53" s="284">
        <f t="shared" si="78"/>
        <v>7.6E-3</v>
      </c>
      <c r="AE53" s="285">
        <f t="shared" si="79"/>
        <v>1.84E-2</v>
      </c>
      <c r="AF53" s="278"/>
      <c r="AH53" s="283">
        <v>2060</v>
      </c>
      <c r="AI53" s="284">
        <f t="shared" si="80"/>
        <v>0.32869999999999999</v>
      </c>
      <c r="AJ53" s="284">
        <f t="shared" si="49"/>
        <v>796.59220000000005</v>
      </c>
      <c r="AK53" s="284">
        <f t="shared" si="50"/>
        <v>0.23719999999999999</v>
      </c>
      <c r="AL53" s="284">
        <f t="shared" si="51"/>
        <v>2.8E-3</v>
      </c>
      <c r="AM53" s="284">
        <f t="shared" si="52"/>
        <v>7.7000000000000002E-3</v>
      </c>
      <c r="AN53" s="285">
        <f t="shared" si="53"/>
        <v>1.78E-2</v>
      </c>
      <c r="AO53" s="278"/>
      <c r="AQ53" s="283">
        <v>2060</v>
      </c>
      <c r="AR53" s="284">
        <f t="shared" si="81"/>
        <v>0.31319999999999998</v>
      </c>
      <c r="AS53" s="284">
        <f t="shared" si="54"/>
        <v>605.9991</v>
      </c>
      <c r="AT53" s="284">
        <f t="shared" si="55"/>
        <v>0.13880000000000001</v>
      </c>
      <c r="AU53" s="284">
        <f t="shared" si="56"/>
        <v>2.0999999999999999E-3</v>
      </c>
      <c r="AV53" s="284">
        <f t="shared" si="57"/>
        <v>5.8999999999999999E-3</v>
      </c>
      <c r="AW53" s="285">
        <f t="shared" si="58"/>
        <v>1.2500000000000001E-2</v>
      </c>
      <c r="AX53" s="278"/>
      <c r="AZ53" s="283">
        <v>2060</v>
      </c>
      <c r="BA53" s="284">
        <f t="shared" si="82"/>
        <v>0.30470000000000003</v>
      </c>
      <c r="BB53" s="284">
        <f t="shared" si="59"/>
        <v>649.32389999999998</v>
      </c>
      <c r="BC53" s="284">
        <f t="shared" si="60"/>
        <v>0.15240000000000001</v>
      </c>
      <c r="BD53" s="284">
        <f t="shared" si="61"/>
        <v>2.2000000000000001E-3</v>
      </c>
      <c r="BE53" s="284">
        <f t="shared" si="62"/>
        <v>6.3E-3</v>
      </c>
      <c r="BF53" s="285">
        <f t="shared" si="63"/>
        <v>1.3299999999999999E-2</v>
      </c>
      <c r="BG53" s="278"/>
      <c r="BI53" s="283">
        <v>2060</v>
      </c>
      <c r="BJ53" s="284">
        <f t="shared" si="83"/>
        <v>0.28770000000000001</v>
      </c>
      <c r="BK53" s="284">
        <f t="shared" si="64"/>
        <v>735.97360000000003</v>
      </c>
      <c r="BL53" s="284">
        <f t="shared" si="65"/>
        <v>0.17960000000000001</v>
      </c>
      <c r="BM53" s="284">
        <f t="shared" si="66"/>
        <v>2.5999999999999999E-3</v>
      </c>
      <c r="BN53" s="284">
        <f t="shared" si="67"/>
        <v>7.1000000000000004E-3</v>
      </c>
      <c r="BO53" s="285">
        <f t="shared" si="68"/>
        <v>1.4999999999999999E-2</v>
      </c>
      <c r="BP53" s="278"/>
      <c r="BR53" s="283">
        <v>2060</v>
      </c>
      <c r="BS53" s="284">
        <f t="shared" si="84"/>
        <v>0.27910000000000001</v>
      </c>
      <c r="BT53" s="284">
        <f t="shared" si="69"/>
        <v>779.29840000000002</v>
      </c>
      <c r="BU53" s="284">
        <f t="shared" si="70"/>
        <v>0.1933</v>
      </c>
      <c r="BV53" s="284">
        <f t="shared" si="71"/>
        <v>2.7000000000000001E-3</v>
      </c>
      <c r="BW53" s="284">
        <f t="shared" si="72"/>
        <v>7.4999999999999997E-3</v>
      </c>
      <c r="BX53" s="285">
        <f t="shared" si="73"/>
        <v>1.5900000000000001E-2</v>
      </c>
    </row>
    <row r="54" spans="2:76" x14ac:dyDescent="0.25">
      <c r="B54" s="254"/>
      <c r="C54" s="270"/>
      <c r="D54" s="270">
        <v>49</v>
      </c>
      <c r="E54" s="271">
        <v>1.5222</v>
      </c>
      <c r="F54" s="272">
        <v>798.46669999999995</v>
      </c>
      <c r="G54" s="273">
        <v>2.1549999999999998</v>
      </c>
      <c r="H54" s="273">
        <v>2.7300000000000001E-2</v>
      </c>
      <c r="I54" s="273">
        <v>7.7999999999999996E-3</v>
      </c>
      <c r="J54" s="274">
        <v>8.5999999999999993E-2</v>
      </c>
      <c r="K54" s="257"/>
      <c r="L54" s="250"/>
      <c r="M54" s="254"/>
      <c r="N54" s="275"/>
      <c r="O54" s="270">
        <v>49</v>
      </c>
      <c r="P54" s="271">
        <v>0.38540000000000002</v>
      </c>
      <c r="Q54" s="272">
        <v>765.15110000000004</v>
      </c>
      <c r="R54" s="273">
        <v>0.26750000000000002</v>
      </c>
      <c r="S54" s="273">
        <v>2.8E-3</v>
      </c>
      <c r="T54" s="273">
        <v>7.3000000000000001E-3</v>
      </c>
      <c r="U54" s="274">
        <v>2.1000000000000001E-2</v>
      </c>
      <c r="V54" s="257"/>
      <c r="Y54" s="3" t="s">
        <v>87</v>
      </c>
      <c r="Z54" s="242">
        <f>(Z29/Z9)^(1/($Y$29-$Y$9))-1</f>
        <v>-6.9554536560950675E-2</v>
      </c>
      <c r="AA54" s="286">
        <f t="shared" ref="AA54:AE54" si="85">(AA29/AA9)^(1/($Y$29-$Y$9))-1</f>
        <v>-2.2324708313780084E-3</v>
      </c>
      <c r="AB54" s="242">
        <f t="shared" si="85"/>
        <v>-0.10571452220586863</v>
      </c>
      <c r="AC54" s="242">
        <f t="shared" si="85"/>
        <v>-0.11509270480436762</v>
      </c>
      <c r="AD54" s="286">
        <f t="shared" si="85"/>
        <v>-2.5613787765302876E-3</v>
      </c>
      <c r="AE54" s="242">
        <f t="shared" si="85"/>
        <v>-7.3606484102621828E-2</v>
      </c>
      <c r="AF54" s="242"/>
      <c r="AH54" s="3" t="s">
        <v>87</v>
      </c>
      <c r="AI54" s="242">
        <f>(AI29/AI9)^(1/($AH$29-$AH$9))-1</f>
        <v>-7.0301565287044232E-2</v>
      </c>
      <c r="AJ54" s="242">
        <f t="shared" ref="AJ54:AN54" si="86">(AJ29/AJ9)^(1/($AH$29-$AH$9))-1</f>
        <v>-2.3341599112652878E-3</v>
      </c>
      <c r="AK54" s="242">
        <f t="shared" si="86"/>
        <v>-0.10739379137291372</v>
      </c>
      <c r="AL54" s="242">
        <f t="shared" si="86"/>
        <v>-0.11709888241634159</v>
      </c>
      <c r="AM54" s="242">
        <f t="shared" si="86"/>
        <v>-2.5289833606837453E-3</v>
      </c>
      <c r="AN54" s="242">
        <f t="shared" si="86"/>
        <v>-7.5140811587534051E-2</v>
      </c>
      <c r="AO54" s="242"/>
      <c r="AQ54" s="3" t="s">
        <v>87</v>
      </c>
      <c r="AR54" s="242">
        <f>(AR29/AR9)^(1/($AQ$29-$AQ$9))-1</f>
        <v>-7.6976096037726371E-2</v>
      </c>
      <c r="AS54" s="242">
        <f t="shared" ref="AS54:AW54" si="87">(AS29/AS9)^(1/($AQ$29-$AQ$9))-1</f>
        <v>-9.2442084623183263E-3</v>
      </c>
      <c r="AT54" s="242">
        <f t="shared" si="87"/>
        <v>-0.10579792624449624</v>
      </c>
      <c r="AU54" s="242">
        <f t="shared" si="87"/>
        <v>-0.10451297752311861</v>
      </c>
      <c r="AV54" s="242">
        <f t="shared" si="87"/>
        <v>-9.9070325581446239E-3</v>
      </c>
      <c r="AW54" s="242">
        <f t="shared" si="87"/>
        <v>-8.3376422222721236E-2</v>
      </c>
      <c r="AX54" s="242"/>
      <c r="AZ54" s="3" t="s">
        <v>87</v>
      </c>
      <c r="BA54" s="242">
        <f>(BA29/BA9)^(1/($AZ$29-$AZ$9))-1</f>
        <v>-7.7370614021923356E-2</v>
      </c>
      <c r="BB54" s="242">
        <f t="shared" ref="BB54:BF54" si="88">(BB29/BB9)^(1/($AZ$29-$AZ$9))-1</f>
        <v>-8.4820634192930289E-3</v>
      </c>
      <c r="BC54" s="242">
        <f t="shared" si="88"/>
        <v>-0.10689631824174928</v>
      </c>
      <c r="BD54" s="242">
        <f t="shared" si="88"/>
        <v>-0.10515805698324476</v>
      </c>
      <c r="BE54" s="242">
        <f t="shared" si="88"/>
        <v>-9.3360763687787562E-3</v>
      </c>
      <c r="BF54" s="242">
        <f t="shared" si="88"/>
        <v>-8.1924886339648229E-2</v>
      </c>
      <c r="BG54" s="242"/>
      <c r="BI54" s="3" t="s">
        <v>87</v>
      </c>
      <c r="BJ54" s="242">
        <f>(BJ29/BJ9)^(1/($BI$29-$BI$9))-1</f>
        <v>-7.8223806729465828E-2</v>
      </c>
      <c r="BK54" s="242">
        <f t="shared" ref="BK54:BO54" si="89">(BK29/BK9)^(1/($BI$29-$BI$9))-1</f>
        <v>-7.1995226200887164E-3</v>
      </c>
      <c r="BL54" s="242">
        <f t="shared" si="89"/>
        <v>-0.10853513954067651</v>
      </c>
      <c r="BM54" s="242">
        <f t="shared" si="89"/>
        <v>-0.10248183840369185</v>
      </c>
      <c r="BN54" s="242">
        <f t="shared" si="89"/>
        <v>-7.7776330025756124E-3</v>
      </c>
      <c r="BO54" s="242">
        <f t="shared" si="89"/>
        <v>-7.9008582553882212E-2</v>
      </c>
      <c r="BP54" s="242"/>
      <c r="BR54" s="3" t="s">
        <v>87</v>
      </c>
      <c r="BS54" s="242">
        <f>(BS29/BS9)^(1/($BR$29-$BR$9))-1</f>
        <v>-7.8695764251900169E-2</v>
      </c>
      <c r="BT54" s="242">
        <f t="shared" ref="BT54:BX54" si="90">(BT29/BT9)^(1/($BR$29-$BR$9))-1</f>
        <v>-6.654769025256968E-3</v>
      </c>
      <c r="BU54" s="242">
        <f t="shared" si="90"/>
        <v>-0.10914374207496269</v>
      </c>
      <c r="BV54" s="242">
        <f t="shared" si="90"/>
        <v>-0.10292083341608016</v>
      </c>
      <c r="BW54" s="242">
        <f t="shared" si="90"/>
        <v>-7.3935326212870578E-3</v>
      </c>
      <c r="BX54" s="242">
        <f t="shared" si="90"/>
        <v>-7.7608362666568453E-2</v>
      </c>
    </row>
    <row r="55" spans="2:76" x14ac:dyDescent="0.25">
      <c r="B55" s="254"/>
      <c r="C55" s="270"/>
      <c r="D55" s="270">
        <v>50</v>
      </c>
      <c r="E55" s="271">
        <v>1.4935</v>
      </c>
      <c r="F55" s="272">
        <v>794.92729999999995</v>
      </c>
      <c r="G55" s="273">
        <v>2.1896</v>
      </c>
      <c r="H55" s="273">
        <v>2.7699999999999999E-2</v>
      </c>
      <c r="I55" s="273">
        <v>7.7000000000000002E-3</v>
      </c>
      <c r="J55" s="274">
        <v>8.5199999999999998E-2</v>
      </c>
      <c r="K55" s="257"/>
      <c r="L55" s="250"/>
      <c r="M55" s="254"/>
      <c r="N55" s="275"/>
      <c r="O55" s="270">
        <v>50</v>
      </c>
      <c r="P55" s="271">
        <v>0.36899999999999999</v>
      </c>
      <c r="Q55" s="272">
        <v>765.05330000000004</v>
      </c>
      <c r="R55" s="273">
        <v>0.26150000000000001</v>
      </c>
      <c r="S55" s="273">
        <v>2.8E-3</v>
      </c>
      <c r="T55" s="273">
        <v>7.3000000000000001E-3</v>
      </c>
      <c r="U55" s="274">
        <v>2.0199999999999999E-2</v>
      </c>
      <c r="V55" s="257"/>
    </row>
    <row r="56" spans="2:76" x14ac:dyDescent="0.25">
      <c r="B56" s="254"/>
      <c r="C56" s="270"/>
      <c r="D56" s="270">
        <v>51</v>
      </c>
      <c r="E56" s="271">
        <v>1.4732000000000001</v>
      </c>
      <c r="F56" s="272">
        <v>804.87220000000002</v>
      </c>
      <c r="G56" s="273">
        <v>2.2174</v>
      </c>
      <c r="H56" s="273">
        <v>2.93E-2</v>
      </c>
      <c r="I56" s="273">
        <v>7.7999999999999996E-3</v>
      </c>
      <c r="J56" s="274">
        <v>8.5099999999999995E-2</v>
      </c>
      <c r="K56" s="257"/>
      <c r="L56" s="250"/>
      <c r="M56" s="254"/>
      <c r="N56" s="275"/>
      <c r="O56" s="270">
        <v>51</v>
      </c>
      <c r="P56" s="271">
        <v>0.3589</v>
      </c>
      <c r="Q56" s="272">
        <v>772.93799999999999</v>
      </c>
      <c r="R56" s="273">
        <v>0.25540000000000002</v>
      </c>
      <c r="S56" s="273">
        <v>2.8E-3</v>
      </c>
      <c r="T56" s="273">
        <v>7.4000000000000003E-3</v>
      </c>
      <c r="U56" s="274">
        <v>1.9599999999999999E-2</v>
      </c>
      <c r="V56" s="257"/>
    </row>
    <row r="57" spans="2:76" x14ac:dyDescent="0.25">
      <c r="B57" s="254"/>
      <c r="C57" s="270"/>
      <c r="D57" s="270">
        <v>52</v>
      </c>
      <c r="E57" s="271">
        <v>1.4529000000000001</v>
      </c>
      <c r="F57" s="272">
        <v>814.81709999999998</v>
      </c>
      <c r="G57" s="273">
        <v>2.2452999999999999</v>
      </c>
      <c r="H57" s="273">
        <v>3.0800000000000001E-2</v>
      </c>
      <c r="I57" s="273">
        <v>7.9000000000000008E-3</v>
      </c>
      <c r="J57" s="274">
        <v>8.5000000000000006E-2</v>
      </c>
      <c r="K57" s="257"/>
      <c r="L57" s="250"/>
      <c r="M57" s="254"/>
      <c r="N57" s="275"/>
      <c r="O57" s="270">
        <v>52</v>
      </c>
      <c r="P57" s="271">
        <v>0.3488</v>
      </c>
      <c r="Q57" s="272">
        <v>780.82270000000005</v>
      </c>
      <c r="R57" s="273">
        <v>0.24929999999999999</v>
      </c>
      <c r="S57" s="273">
        <v>2.8E-3</v>
      </c>
      <c r="T57" s="273">
        <v>7.4999999999999997E-3</v>
      </c>
      <c r="U57" s="274">
        <v>1.9E-2</v>
      </c>
      <c r="V57" s="257"/>
    </row>
    <row r="58" spans="2:76" x14ac:dyDescent="0.25">
      <c r="B58" s="254"/>
      <c r="C58" s="270"/>
      <c r="D58" s="270">
        <v>53</v>
      </c>
      <c r="E58" s="271">
        <v>1.4326000000000001</v>
      </c>
      <c r="F58" s="272">
        <v>824.76199999999994</v>
      </c>
      <c r="G58" s="273">
        <v>2.2730999999999999</v>
      </c>
      <c r="H58" s="273">
        <v>3.2300000000000002E-2</v>
      </c>
      <c r="I58" s="273">
        <v>8.0000000000000002E-3</v>
      </c>
      <c r="J58" s="274">
        <v>8.4900000000000003E-2</v>
      </c>
      <c r="K58" s="257"/>
      <c r="L58" s="250"/>
      <c r="M58" s="254"/>
      <c r="N58" s="275"/>
      <c r="O58" s="270">
        <v>53</v>
      </c>
      <c r="P58" s="271">
        <v>0.33879999999999999</v>
      </c>
      <c r="Q58" s="272">
        <v>788.70749999999998</v>
      </c>
      <c r="R58" s="273">
        <v>0.24329999999999999</v>
      </c>
      <c r="S58" s="273">
        <v>2.8E-3</v>
      </c>
      <c r="T58" s="273">
        <v>7.6E-3</v>
      </c>
      <c r="U58" s="274">
        <v>1.84E-2</v>
      </c>
      <c r="V58" s="257"/>
    </row>
    <row r="59" spans="2:76" x14ac:dyDescent="0.25">
      <c r="B59" s="254"/>
      <c r="C59" s="270"/>
      <c r="D59" s="270">
        <v>54</v>
      </c>
      <c r="E59" s="271">
        <v>1.4124000000000001</v>
      </c>
      <c r="F59" s="272">
        <v>834.70690000000002</v>
      </c>
      <c r="G59" s="273">
        <v>2.3010000000000002</v>
      </c>
      <c r="H59" s="273">
        <v>3.3799999999999997E-2</v>
      </c>
      <c r="I59" s="273">
        <v>8.0999999999999996E-3</v>
      </c>
      <c r="J59" s="274">
        <v>8.4900000000000003E-2</v>
      </c>
      <c r="K59" s="257"/>
      <c r="L59" s="250"/>
      <c r="M59" s="254"/>
      <c r="N59" s="275"/>
      <c r="O59" s="270">
        <v>54</v>
      </c>
      <c r="P59" s="271">
        <v>0.32869999999999999</v>
      </c>
      <c r="Q59" s="272">
        <v>796.59220000000005</v>
      </c>
      <c r="R59" s="273">
        <v>0.23719999999999999</v>
      </c>
      <c r="S59" s="273">
        <v>2.8E-3</v>
      </c>
      <c r="T59" s="273">
        <v>7.7000000000000002E-3</v>
      </c>
      <c r="U59" s="274">
        <v>1.78E-2</v>
      </c>
      <c r="V59" s="257"/>
    </row>
    <row r="60" spans="2:76" x14ac:dyDescent="0.25">
      <c r="B60" s="254"/>
      <c r="C60" s="270"/>
      <c r="D60" s="270">
        <v>55</v>
      </c>
      <c r="E60" s="271">
        <v>1.3920999999999999</v>
      </c>
      <c r="F60" s="272">
        <v>844.65179999999998</v>
      </c>
      <c r="G60" s="273">
        <v>2.3288000000000002</v>
      </c>
      <c r="H60" s="273">
        <v>3.5299999999999998E-2</v>
      </c>
      <c r="I60" s="273">
        <v>8.2000000000000007E-3</v>
      </c>
      <c r="J60" s="274">
        <v>8.48E-2</v>
      </c>
      <c r="K60" s="257"/>
      <c r="L60" s="250"/>
      <c r="M60" s="254"/>
      <c r="N60" s="275"/>
      <c r="O60" s="270">
        <v>55</v>
      </c>
      <c r="P60" s="271">
        <v>0.31859999999999999</v>
      </c>
      <c r="Q60" s="272">
        <v>804.4769</v>
      </c>
      <c r="R60" s="273">
        <v>0.2311</v>
      </c>
      <c r="S60" s="273">
        <v>2.8E-3</v>
      </c>
      <c r="T60" s="273">
        <v>7.7000000000000002E-3</v>
      </c>
      <c r="U60" s="274">
        <v>1.7100000000000001E-2</v>
      </c>
      <c r="V60" s="257"/>
    </row>
    <row r="61" spans="2:76" x14ac:dyDescent="0.25">
      <c r="B61" s="254"/>
      <c r="C61" s="270"/>
      <c r="D61" s="270">
        <v>56</v>
      </c>
      <c r="E61" s="271">
        <v>1.4034</v>
      </c>
      <c r="F61" s="272">
        <v>827.19539999999995</v>
      </c>
      <c r="G61" s="273">
        <v>2.2073</v>
      </c>
      <c r="H61" s="273">
        <v>3.4500000000000003E-2</v>
      </c>
      <c r="I61" s="273">
        <v>8.0000000000000002E-3</v>
      </c>
      <c r="J61" s="274">
        <v>8.3199999999999996E-2</v>
      </c>
      <c r="K61" s="257"/>
      <c r="L61" s="250"/>
      <c r="M61" s="254"/>
      <c r="N61" s="275"/>
      <c r="O61" s="270">
        <v>56</v>
      </c>
      <c r="P61" s="271">
        <v>0.31340000000000001</v>
      </c>
      <c r="Q61" s="272">
        <v>779.81060000000002</v>
      </c>
      <c r="R61" s="273">
        <v>0.21729999999999999</v>
      </c>
      <c r="S61" s="273">
        <v>2.7000000000000001E-3</v>
      </c>
      <c r="T61" s="273">
        <v>7.4999999999999997E-3</v>
      </c>
      <c r="U61" s="274">
        <v>1.6299999999999999E-2</v>
      </c>
      <c r="V61" s="257"/>
    </row>
    <row r="62" spans="2:76" x14ac:dyDescent="0.25">
      <c r="B62" s="254"/>
      <c r="C62" s="270"/>
      <c r="D62" s="270">
        <v>57</v>
      </c>
      <c r="E62" s="271">
        <v>1.4147000000000001</v>
      </c>
      <c r="F62" s="272">
        <v>809.73910000000001</v>
      </c>
      <c r="G62" s="273">
        <v>2.0857999999999999</v>
      </c>
      <c r="H62" s="273">
        <v>3.3799999999999997E-2</v>
      </c>
      <c r="I62" s="273">
        <v>7.9000000000000008E-3</v>
      </c>
      <c r="J62" s="274">
        <v>8.1500000000000003E-2</v>
      </c>
      <c r="K62" s="257"/>
      <c r="L62" s="250"/>
      <c r="M62" s="254"/>
      <c r="N62" s="275"/>
      <c r="O62" s="270">
        <v>57</v>
      </c>
      <c r="P62" s="271">
        <v>0.30819999999999997</v>
      </c>
      <c r="Q62" s="272">
        <v>755.14419999999996</v>
      </c>
      <c r="R62" s="273">
        <v>0.2034</v>
      </c>
      <c r="S62" s="273">
        <v>2.5999999999999999E-3</v>
      </c>
      <c r="T62" s="273">
        <v>7.3000000000000001E-3</v>
      </c>
      <c r="U62" s="274">
        <v>1.54E-2</v>
      </c>
      <c r="V62" s="257"/>
    </row>
    <row r="63" spans="2:76" x14ac:dyDescent="0.25">
      <c r="B63" s="254"/>
      <c r="C63" s="270"/>
      <c r="D63" s="270">
        <v>58</v>
      </c>
      <c r="E63" s="271">
        <v>1.4259999999999999</v>
      </c>
      <c r="F63" s="272">
        <v>792.28269999999998</v>
      </c>
      <c r="G63" s="273">
        <v>1.9642999999999999</v>
      </c>
      <c r="H63" s="273">
        <v>3.3000000000000002E-2</v>
      </c>
      <c r="I63" s="273">
        <v>7.7000000000000002E-3</v>
      </c>
      <c r="J63" s="274">
        <v>7.9899999999999999E-2</v>
      </c>
      <c r="K63" s="257"/>
      <c r="L63" s="250"/>
      <c r="M63" s="254"/>
      <c r="N63" s="275"/>
      <c r="O63" s="270">
        <v>58</v>
      </c>
      <c r="P63" s="271">
        <v>0.30299999999999999</v>
      </c>
      <c r="Q63" s="272">
        <v>730.47789999999998</v>
      </c>
      <c r="R63" s="273">
        <v>0.18959999999999999</v>
      </c>
      <c r="S63" s="273">
        <v>2.5000000000000001E-3</v>
      </c>
      <c r="T63" s="273">
        <v>7.0000000000000001E-3</v>
      </c>
      <c r="U63" s="274">
        <v>1.46E-2</v>
      </c>
      <c r="V63" s="257"/>
    </row>
    <row r="64" spans="2:76" x14ac:dyDescent="0.25">
      <c r="B64" s="254"/>
      <c r="C64" s="270"/>
      <c r="D64" s="270">
        <v>59</v>
      </c>
      <c r="E64" s="271">
        <v>1.4373</v>
      </c>
      <c r="F64" s="272">
        <v>774.82640000000004</v>
      </c>
      <c r="G64" s="273">
        <v>1.8428</v>
      </c>
      <c r="H64" s="273">
        <v>3.2199999999999999E-2</v>
      </c>
      <c r="I64" s="273">
        <v>7.6E-3</v>
      </c>
      <c r="J64" s="274">
        <v>7.8299999999999995E-2</v>
      </c>
      <c r="K64" s="257"/>
      <c r="L64" s="250"/>
      <c r="M64" s="254"/>
      <c r="N64" s="275"/>
      <c r="O64" s="270">
        <v>59</v>
      </c>
      <c r="P64" s="271">
        <v>0.29780000000000001</v>
      </c>
      <c r="Q64" s="272">
        <v>705.81150000000002</v>
      </c>
      <c r="R64" s="273">
        <v>0.17580000000000001</v>
      </c>
      <c r="S64" s="273">
        <v>2.3999999999999998E-3</v>
      </c>
      <c r="T64" s="273">
        <v>6.7999999999999996E-3</v>
      </c>
      <c r="U64" s="274">
        <v>1.37E-2</v>
      </c>
      <c r="V64" s="257"/>
    </row>
    <row r="65" spans="2:22" x14ac:dyDescent="0.25">
      <c r="B65" s="254"/>
      <c r="C65" s="270"/>
      <c r="D65" s="270">
        <v>60</v>
      </c>
      <c r="E65" s="271">
        <v>1.4486000000000001</v>
      </c>
      <c r="F65" s="272">
        <v>757.37</v>
      </c>
      <c r="G65" s="273">
        <v>1.7213000000000001</v>
      </c>
      <c r="H65" s="273">
        <v>3.1399999999999997E-2</v>
      </c>
      <c r="I65" s="273">
        <v>7.4000000000000003E-3</v>
      </c>
      <c r="J65" s="274">
        <v>7.6600000000000001E-2</v>
      </c>
      <c r="K65" s="257"/>
      <c r="L65" s="250"/>
      <c r="M65" s="254"/>
      <c r="N65" s="275"/>
      <c r="O65" s="270">
        <v>60</v>
      </c>
      <c r="P65" s="271">
        <v>0.29260000000000003</v>
      </c>
      <c r="Q65" s="272">
        <v>681.14520000000005</v>
      </c>
      <c r="R65" s="273">
        <v>0.16189999999999999</v>
      </c>
      <c r="S65" s="273">
        <v>2.3E-3</v>
      </c>
      <c r="T65" s="273">
        <v>6.6E-3</v>
      </c>
      <c r="U65" s="274">
        <v>1.29E-2</v>
      </c>
      <c r="V65" s="257"/>
    </row>
    <row r="66" spans="2:22" x14ac:dyDescent="0.25">
      <c r="B66" s="254"/>
      <c r="C66" s="270"/>
      <c r="D66" s="270">
        <v>61</v>
      </c>
      <c r="E66" s="271">
        <v>1.4697</v>
      </c>
      <c r="F66" s="272">
        <v>751.83439999999996</v>
      </c>
      <c r="G66" s="273">
        <v>1.6368</v>
      </c>
      <c r="H66" s="273">
        <v>2.9000000000000001E-2</v>
      </c>
      <c r="I66" s="273">
        <v>7.4000000000000003E-3</v>
      </c>
      <c r="J66" s="274">
        <v>7.5600000000000001E-2</v>
      </c>
      <c r="K66" s="257"/>
      <c r="L66" s="250"/>
      <c r="M66" s="254"/>
      <c r="N66" s="275"/>
      <c r="O66" s="270">
        <v>61</v>
      </c>
      <c r="P66" s="271">
        <v>0.29670000000000002</v>
      </c>
      <c r="Q66" s="272">
        <v>666.11599999999999</v>
      </c>
      <c r="R66" s="273">
        <v>0.1573</v>
      </c>
      <c r="S66" s="273">
        <v>2.3E-3</v>
      </c>
      <c r="T66" s="273">
        <v>6.4000000000000003E-3</v>
      </c>
      <c r="U66" s="274">
        <v>1.2800000000000001E-2</v>
      </c>
      <c r="V66" s="257"/>
    </row>
    <row r="67" spans="2:22" x14ac:dyDescent="0.25">
      <c r="B67" s="254"/>
      <c r="C67" s="270"/>
      <c r="D67" s="270">
        <v>62</v>
      </c>
      <c r="E67" s="271">
        <v>1.4908999999999999</v>
      </c>
      <c r="F67" s="272">
        <v>746.29880000000003</v>
      </c>
      <c r="G67" s="273">
        <v>1.5524</v>
      </c>
      <c r="H67" s="273">
        <v>2.6499999999999999E-2</v>
      </c>
      <c r="I67" s="273">
        <v>7.3000000000000001E-3</v>
      </c>
      <c r="J67" s="274">
        <v>7.4499999999999997E-2</v>
      </c>
      <c r="K67" s="257"/>
      <c r="L67" s="250"/>
      <c r="M67" s="254"/>
      <c r="N67" s="275"/>
      <c r="O67" s="270">
        <v>62</v>
      </c>
      <c r="P67" s="271">
        <v>0.30080000000000001</v>
      </c>
      <c r="Q67" s="272">
        <v>651.08680000000004</v>
      </c>
      <c r="R67" s="273">
        <v>0.1527</v>
      </c>
      <c r="S67" s="273">
        <v>2.2000000000000001E-3</v>
      </c>
      <c r="T67" s="273">
        <v>6.3E-3</v>
      </c>
      <c r="U67" s="274">
        <v>1.2699999999999999E-2</v>
      </c>
      <c r="V67" s="257"/>
    </row>
    <row r="68" spans="2:22" x14ac:dyDescent="0.25">
      <c r="B68" s="254"/>
      <c r="C68" s="270"/>
      <c r="D68" s="270">
        <v>63</v>
      </c>
      <c r="E68" s="271">
        <v>1.512</v>
      </c>
      <c r="F68" s="272">
        <v>740.76319999999998</v>
      </c>
      <c r="G68" s="273">
        <v>1.468</v>
      </c>
      <c r="H68" s="273">
        <v>2.41E-2</v>
      </c>
      <c r="I68" s="273">
        <v>7.3000000000000001E-3</v>
      </c>
      <c r="J68" s="274">
        <v>7.3400000000000007E-2</v>
      </c>
      <c r="K68" s="257"/>
      <c r="L68" s="250"/>
      <c r="M68" s="254"/>
      <c r="N68" s="275"/>
      <c r="O68" s="270">
        <v>63</v>
      </c>
      <c r="P68" s="271">
        <v>0.30499999999999999</v>
      </c>
      <c r="Q68" s="272">
        <v>636.0575</v>
      </c>
      <c r="R68" s="273">
        <v>0.14810000000000001</v>
      </c>
      <c r="S68" s="273">
        <v>2.2000000000000001E-3</v>
      </c>
      <c r="T68" s="273">
        <v>6.1999999999999998E-3</v>
      </c>
      <c r="U68" s="274">
        <v>1.26E-2</v>
      </c>
      <c r="V68" s="257"/>
    </row>
    <row r="69" spans="2:22" x14ac:dyDescent="0.25">
      <c r="B69" s="254"/>
      <c r="C69" s="270"/>
      <c r="D69" s="270">
        <v>64</v>
      </c>
      <c r="E69" s="271">
        <v>1.5331999999999999</v>
      </c>
      <c r="F69" s="272">
        <v>735.22760000000005</v>
      </c>
      <c r="G69" s="273">
        <v>1.3835999999999999</v>
      </c>
      <c r="H69" s="273">
        <v>2.1600000000000001E-2</v>
      </c>
      <c r="I69" s="273">
        <v>7.1999999999999998E-3</v>
      </c>
      <c r="J69" s="274">
        <v>7.2400000000000006E-2</v>
      </c>
      <c r="K69" s="257"/>
      <c r="L69" s="250"/>
      <c r="M69" s="254"/>
      <c r="N69" s="275"/>
      <c r="O69" s="270">
        <v>64</v>
      </c>
      <c r="P69" s="271">
        <v>0.30909999999999999</v>
      </c>
      <c r="Q69" s="272">
        <v>621.02829999999994</v>
      </c>
      <c r="R69" s="273">
        <v>0.1434</v>
      </c>
      <c r="S69" s="273">
        <v>2.0999999999999999E-3</v>
      </c>
      <c r="T69" s="273">
        <v>6.0000000000000001E-3</v>
      </c>
      <c r="U69" s="274">
        <v>1.2500000000000001E-2</v>
      </c>
      <c r="V69" s="257"/>
    </row>
    <row r="70" spans="2:22" x14ac:dyDescent="0.25">
      <c r="B70" s="254"/>
      <c r="C70" s="270"/>
      <c r="D70" s="270">
        <v>65</v>
      </c>
      <c r="E70" s="271">
        <v>1.5544</v>
      </c>
      <c r="F70" s="272">
        <v>729.69200000000001</v>
      </c>
      <c r="G70" s="273">
        <v>1.2991999999999999</v>
      </c>
      <c r="H70" s="273">
        <v>1.9099999999999999E-2</v>
      </c>
      <c r="I70" s="273">
        <v>7.1999999999999998E-3</v>
      </c>
      <c r="J70" s="274">
        <v>7.1300000000000002E-2</v>
      </c>
      <c r="K70" s="257"/>
      <c r="L70" s="250"/>
      <c r="M70" s="254"/>
      <c r="N70" s="275"/>
      <c r="O70" s="270">
        <v>65</v>
      </c>
      <c r="P70" s="271">
        <v>0.31319999999999998</v>
      </c>
      <c r="Q70" s="272">
        <v>605.9991</v>
      </c>
      <c r="R70" s="273">
        <v>0.13880000000000001</v>
      </c>
      <c r="S70" s="273">
        <v>2.0999999999999999E-3</v>
      </c>
      <c r="T70" s="273">
        <v>5.8999999999999999E-3</v>
      </c>
      <c r="U70" s="274">
        <v>1.2500000000000001E-2</v>
      </c>
      <c r="V70" s="257"/>
    </row>
    <row r="71" spans="2:22" x14ac:dyDescent="0.25">
      <c r="B71" s="254"/>
      <c r="C71" s="270"/>
      <c r="D71" s="270">
        <v>66</v>
      </c>
      <c r="E71" s="271">
        <v>1.5251999999999999</v>
      </c>
      <c r="F71" s="272">
        <v>769.92759999999998</v>
      </c>
      <c r="G71" s="273">
        <v>1.462</v>
      </c>
      <c r="H71" s="273">
        <v>2.0299999999999999E-2</v>
      </c>
      <c r="I71" s="273">
        <v>7.6E-3</v>
      </c>
      <c r="J71" s="274">
        <v>7.3499999999999996E-2</v>
      </c>
      <c r="K71" s="257"/>
      <c r="L71" s="250"/>
      <c r="M71" s="254"/>
      <c r="N71" s="275"/>
      <c r="O71" s="270">
        <v>66</v>
      </c>
      <c r="P71" s="271">
        <v>0.30470000000000003</v>
      </c>
      <c r="Q71" s="272">
        <v>649.32389999999998</v>
      </c>
      <c r="R71" s="273">
        <v>0.15240000000000001</v>
      </c>
      <c r="S71" s="273">
        <v>2.2000000000000001E-3</v>
      </c>
      <c r="T71" s="273">
        <v>6.3E-3</v>
      </c>
      <c r="U71" s="274">
        <v>1.3299999999999999E-2</v>
      </c>
      <c r="V71" s="257"/>
    </row>
    <row r="72" spans="2:22" x14ac:dyDescent="0.25">
      <c r="B72" s="254"/>
      <c r="C72" s="270"/>
      <c r="D72" s="270">
        <v>67</v>
      </c>
      <c r="E72" s="271">
        <v>1.4961</v>
      </c>
      <c r="F72" s="272">
        <v>810.16330000000005</v>
      </c>
      <c r="G72" s="273">
        <v>1.6247</v>
      </c>
      <c r="H72" s="273">
        <v>2.1399999999999999E-2</v>
      </c>
      <c r="I72" s="273">
        <v>7.9000000000000008E-3</v>
      </c>
      <c r="J72" s="274">
        <v>7.5700000000000003E-2</v>
      </c>
      <c r="K72" s="257"/>
      <c r="L72" s="250"/>
      <c r="M72" s="254"/>
      <c r="N72" s="275"/>
      <c r="O72" s="270">
        <v>67</v>
      </c>
      <c r="P72" s="271">
        <v>0.29620000000000002</v>
      </c>
      <c r="Q72" s="272">
        <v>692.64869999999996</v>
      </c>
      <c r="R72" s="273">
        <v>0.16600000000000001</v>
      </c>
      <c r="S72" s="273">
        <v>2.3999999999999998E-3</v>
      </c>
      <c r="T72" s="273">
        <v>6.7000000000000002E-3</v>
      </c>
      <c r="U72" s="274">
        <v>1.4200000000000001E-2</v>
      </c>
      <c r="V72" s="257"/>
    </row>
    <row r="73" spans="2:22" x14ac:dyDescent="0.25">
      <c r="B73" s="254"/>
      <c r="C73" s="270"/>
      <c r="D73" s="270">
        <v>68</v>
      </c>
      <c r="E73" s="271">
        <v>1.4670000000000001</v>
      </c>
      <c r="F73" s="272">
        <v>850.39890000000003</v>
      </c>
      <c r="G73" s="273">
        <v>1.7874000000000001</v>
      </c>
      <c r="H73" s="273">
        <v>2.2599999999999999E-2</v>
      </c>
      <c r="I73" s="273">
        <v>8.3000000000000001E-3</v>
      </c>
      <c r="J73" s="274">
        <v>7.7799999999999994E-2</v>
      </c>
      <c r="K73" s="257"/>
      <c r="L73" s="250"/>
      <c r="M73" s="254"/>
      <c r="N73" s="275"/>
      <c r="O73" s="270">
        <v>68</v>
      </c>
      <c r="P73" s="271">
        <v>0.28770000000000001</v>
      </c>
      <c r="Q73" s="272">
        <v>735.97360000000003</v>
      </c>
      <c r="R73" s="273">
        <v>0.17960000000000001</v>
      </c>
      <c r="S73" s="273">
        <v>2.5999999999999999E-3</v>
      </c>
      <c r="T73" s="273">
        <v>7.1000000000000004E-3</v>
      </c>
      <c r="U73" s="274">
        <v>1.4999999999999999E-2</v>
      </c>
      <c r="V73" s="257"/>
    </row>
    <row r="74" spans="2:22" x14ac:dyDescent="0.25">
      <c r="B74" s="254"/>
      <c r="C74" s="270"/>
      <c r="D74" s="270">
        <v>69</v>
      </c>
      <c r="E74" s="271">
        <v>1.4378</v>
      </c>
      <c r="F74" s="272">
        <v>890.63459999999998</v>
      </c>
      <c r="G74" s="273">
        <v>1.9501999999999999</v>
      </c>
      <c r="H74" s="273">
        <v>2.3699999999999999E-2</v>
      </c>
      <c r="I74" s="273">
        <v>8.6999999999999994E-3</v>
      </c>
      <c r="J74" s="274">
        <v>0.08</v>
      </c>
      <c r="K74" s="257"/>
      <c r="L74" s="250"/>
      <c r="M74" s="254"/>
      <c r="N74" s="275"/>
      <c r="O74" s="270">
        <v>69</v>
      </c>
      <c r="P74" s="271">
        <v>0.27910000000000001</v>
      </c>
      <c r="Q74" s="272">
        <v>779.29840000000002</v>
      </c>
      <c r="R74" s="273">
        <v>0.1933</v>
      </c>
      <c r="S74" s="273">
        <v>2.7000000000000001E-3</v>
      </c>
      <c r="T74" s="273">
        <v>7.4999999999999997E-3</v>
      </c>
      <c r="U74" s="274">
        <v>1.5900000000000001E-2</v>
      </c>
      <c r="V74" s="257"/>
    </row>
    <row r="75" spans="2:22" x14ac:dyDescent="0.25">
      <c r="B75" s="254"/>
      <c r="C75" s="270"/>
      <c r="D75" s="270">
        <v>70</v>
      </c>
      <c r="E75" s="271">
        <v>1.4087000000000001</v>
      </c>
      <c r="F75" s="272">
        <v>930.87019999999995</v>
      </c>
      <c r="G75" s="273">
        <v>2.1128999999999998</v>
      </c>
      <c r="H75" s="273">
        <v>2.4799999999999999E-2</v>
      </c>
      <c r="I75" s="273">
        <v>9.1000000000000004E-3</v>
      </c>
      <c r="J75" s="274">
        <v>8.2199999999999995E-2</v>
      </c>
      <c r="K75" s="257"/>
      <c r="L75" s="250"/>
      <c r="M75" s="254"/>
      <c r="N75" s="275"/>
      <c r="O75" s="270">
        <v>70</v>
      </c>
      <c r="P75" s="271">
        <v>0.27060000000000001</v>
      </c>
      <c r="Q75" s="272">
        <v>822.6232</v>
      </c>
      <c r="R75" s="273">
        <v>0.2069</v>
      </c>
      <c r="S75" s="273">
        <v>2.8999999999999998E-3</v>
      </c>
      <c r="T75" s="273">
        <v>7.9000000000000008E-3</v>
      </c>
      <c r="U75" s="274">
        <v>1.67E-2</v>
      </c>
      <c r="V75" s="257"/>
    </row>
    <row r="76" spans="2:22" ht="15.75" thickBot="1" x14ac:dyDescent="0.3">
      <c r="B76" s="287"/>
      <c r="C76" s="288"/>
      <c r="D76" s="288"/>
      <c r="E76" s="288"/>
      <c r="F76" s="288"/>
      <c r="G76" s="288"/>
      <c r="H76" s="288"/>
      <c r="I76" s="288"/>
      <c r="J76" s="288"/>
      <c r="K76" s="289"/>
      <c r="L76" s="250"/>
      <c r="M76" s="287"/>
      <c r="N76" s="288"/>
      <c r="O76" s="288"/>
      <c r="P76" s="288"/>
      <c r="Q76" s="288"/>
      <c r="R76" s="288"/>
      <c r="S76" s="288"/>
      <c r="T76" s="288"/>
      <c r="U76" s="288"/>
      <c r="V76" s="289"/>
    </row>
    <row r="77" spans="2:22" ht="15.75" thickTop="1" x14ac:dyDescent="0.25">
      <c r="B77" s="3" t="s">
        <v>55</v>
      </c>
      <c r="C77" s="3" t="s">
        <v>301</v>
      </c>
    </row>
    <row r="78" spans="2:22" x14ac:dyDescent="0.25">
      <c r="B78" s="290" t="s">
        <v>136</v>
      </c>
    </row>
    <row r="92" spans="1:3" x14ac:dyDescent="0.25">
      <c r="C92" s="27"/>
    </row>
    <row r="93" spans="1:3" x14ac:dyDescent="0.25">
      <c r="A93" s="2"/>
      <c r="B93" s="2"/>
      <c r="C93" s="18"/>
    </row>
    <row r="94" spans="1:3" x14ac:dyDescent="0.25">
      <c r="A94" s="2"/>
      <c r="B94" s="2"/>
      <c r="C94" s="28"/>
    </row>
    <row r="95" spans="1:3" x14ac:dyDescent="0.25">
      <c r="A95" s="2"/>
      <c r="B9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ColWidth="9.140625" defaultRowHeight="15" x14ac:dyDescent="0.25"/>
  <cols>
    <col min="1" max="16384" width="9.140625" style="65"/>
  </cols>
  <sheetData>
    <row r="1" spans="1:7" x14ac:dyDescent="0.25">
      <c r="A1" s="260" t="s">
        <v>247</v>
      </c>
    </row>
    <row r="2" spans="1:7" x14ac:dyDescent="0.25">
      <c r="B2" s="291" t="s">
        <v>57</v>
      </c>
      <c r="C2" s="291" t="s">
        <v>64</v>
      </c>
      <c r="D2" s="291" t="s">
        <v>65</v>
      </c>
      <c r="E2" s="291" t="s">
        <v>218</v>
      </c>
      <c r="F2" s="291" t="s">
        <v>66</v>
      </c>
      <c r="G2" s="291" t="s">
        <v>59</v>
      </c>
    </row>
    <row r="3" spans="1:7" x14ac:dyDescent="0.25">
      <c r="B3" s="84"/>
      <c r="C3" s="84">
        <v>20.78</v>
      </c>
      <c r="D3" s="84">
        <v>0.42699999999999999</v>
      </c>
      <c r="E3" s="84">
        <v>1.2E-2</v>
      </c>
      <c r="F3" s="84"/>
      <c r="G3" s="84"/>
    </row>
    <row r="4" spans="1:7" x14ac:dyDescent="0.25">
      <c r="A4" s="65" t="s">
        <v>73</v>
      </c>
      <c r="B4" s="65" t="s">
        <v>306</v>
      </c>
    </row>
    <row r="5" spans="1:7" x14ac:dyDescent="0.25">
      <c r="B5" s="65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33" sqref="B33"/>
    </sheetView>
  </sheetViews>
  <sheetFormatPr defaultColWidth="9.140625" defaultRowHeight="15" x14ac:dyDescent="0.25"/>
  <cols>
    <col min="1" max="1" width="57.5703125" style="65" bestFit="1" customWidth="1"/>
    <col min="2" max="2" width="25.140625" style="65" customWidth="1"/>
    <col min="3" max="3" width="21.85546875" style="65" customWidth="1"/>
    <col min="4" max="4" width="42.5703125" style="65" customWidth="1"/>
    <col min="5" max="16384" width="9.140625" style="65"/>
  </cols>
  <sheetData>
    <row r="1" spans="1:4" ht="15.75" thickBot="1" x14ac:dyDescent="0.3"/>
    <row r="2" spans="1:4" x14ac:dyDescent="0.25">
      <c r="A2" s="89" t="s">
        <v>290</v>
      </c>
      <c r="B2" s="292" t="s">
        <v>70</v>
      </c>
      <c r="C2" s="293" t="s">
        <v>71</v>
      </c>
    </row>
    <row r="3" spans="1:4" x14ac:dyDescent="0.25">
      <c r="A3" s="23" t="s">
        <v>74</v>
      </c>
      <c r="B3" s="85">
        <v>109597</v>
      </c>
      <c r="C3" s="294">
        <v>170246</v>
      </c>
    </row>
    <row r="4" spans="1:4" ht="15.75" thickBot="1" x14ac:dyDescent="0.3">
      <c r="A4" s="86" t="s">
        <v>75</v>
      </c>
      <c r="B4" s="295">
        <f>B3/(B3+C3)</f>
        <v>0.39163745385805615</v>
      </c>
      <c r="C4" s="296">
        <f>C3/(B3+C3)</f>
        <v>0.60836254614194385</v>
      </c>
    </row>
    <row r="5" spans="1:4" x14ac:dyDescent="0.25">
      <c r="A5" s="26" t="s">
        <v>73</v>
      </c>
      <c r="B5" s="65" t="s">
        <v>311</v>
      </c>
    </row>
    <row r="6" spans="1:4" ht="15.75" thickBot="1" x14ac:dyDescent="0.3"/>
    <row r="7" spans="1:4" x14ac:dyDescent="0.25">
      <c r="A7" s="89" t="s">
        <v>72</v>
      </c>
      <c r="B7" s="231" t="s">
        <v>169</v>
      </c>
      <c r="C7" s="231" t="s">
        <v>170</v>
      </c>
      <c r="D7" s="232" t="s">
        <v>171</v>
      </c>
    </row>
    <row r="8" spans="1:4" x14ac:dyDescent="0.25">
      <c r="A8" s="23" t="s">
        <v>70</v>
      </c>
      <c r="B8" s="297">
        <f>1.03/100000000</f>
        <v>1.03E-8</v>
      </c>
      <c r="C8" s="224">
        <f>55/100000000</f>
        <v>5.5000000000000003E-7</v>
      </c>
      <c r="D8" s="298">
        <f>158.2/100000000</f>
        <v>1.5819999999999998E-6</v>
      </c>
    </row>
    <row r="9" spans="1:4" x14ac:dyDescent="0.25">
      <c r="A9" s="23" t="s">
        <v>71</v>
      </c>
      <c r="B9" s="297">
        <f>1.79/100000000</f>
        <v>1.7900000000000001E-8</v>
      </c>
      <c r="C9" s="224">
        <f>34.2/100000000</f>
        <v>3.4200000000000002E-7</v>
      </c>
      <c r="D9" s="299">
        <f>98.8/100000000</f>
        <v>9.879999999999999E-7</v>
      </c>
    </row>
    <row r="10" spans="1:4" ht="15.75" thickBot="1" x14ac:dyDescent="0.3">
      <c r="A10" s="86" t="s">
        <v>76</v>
      </c>
      <c r="B10" s="300">
        <f>B8*$B$4+B9*$C$4</f>
        <v>1.4923555350678773E-8</v>
      </c>
      <c r="C10" s="300">
        <f>C8*$B$4+C9*$C$4</f>
        <v>4.2346059040247568E-7</v>
      </c>
      <c r="D10" s="301">
        <f>D8*$B$4+D9*$C$4</f>
        <v>1.2206326475916853E-6</v>
      </c>
    </row>
    <row r="11" spans="1:4" x14ac:dyDescent="0.25">
      <c r="A11" s="26" t="s">
        <v>55</v>
      </c>
      <c r="B11" s="65" t="s">
        <v>302</v>
      </c>
    </row>
    <row r="13" spans="1:4" ht="15.75" thickBot="1" x14ac:dyDescent="0.3"/>
    <row r="14" spans="1:4" x14ac:dyDescent="0.25">
      <c r="A14" s="89" t="s">
        <v>303</v>
      </c>
      <c r="B14" s="302"/>
      <c r="C14" s="302"/>
      <c r="D14" s="240"/>
    </row>
    <row r="15" spans="1:4" x14ac:dyDescent="0.25">
      <c r="A15" s="23"/>
      <c r="B15" s="303" t="s">
        <v>173</v>
      </c>
      <c r="C15" s="1" t="s">
        <v>174</v>
      </c>
      <c r="D15" s="304" t="s">
        <v>175</v>
      </c>
    </row>
    <row r="16" spans="1:4" x14ac:dyDescent="0.25">
      <c r="A16" s="23" t="s">
        <v>172</v>
      </c>
      <c r="B16" s="87">
        <v>78</v>
      </c>
      <c r="C16" s="87">
        <v>1052</v>
      </c>
      <c r="D16" s="305">
        <v>234</v>
      </c>
    </row>
    <row r="17" spans="1:4" x14ac:dyDescent="0.25">
      <c r="A17" s="23" t="s">
        <v>176</v>
      </c>
      <c r="B17" s="297">
        <f>B16/1000000000</f>
        <v>7.7999999999999997E-8</v>
      </c>
      <c r="C17" s="297">
        <f t="shared" ref="C17:D17" si="0">C16/1000000000</f>
        <v>1.052E-6</v>
      </c>
      <c r="D17" s="299">
        <f t="shared" si="0"/>
        <v>2.34E-7</v>
      </c>
    </row>
    <row r="18" spans="1:4" x14ac:dyDescent="0.25">
      <c r="A18" s="23"/>
      <c r="B18" s="297"/>
      <c r="C18" s="297"/>
      <c r="D18" s="299"/>
    </row>
    <row r="19" spans="1:4" x14ac:dyDescent="0.25">
      <c r="A19" s="23" t="s">
        <v>178</v>
      </c>
      <c r="B19" s="87">
        <v>309.3</v>
      </c>
      <c r="C19" s="297"/>
      <c r="D19" s="299"/>
    </row>
    <row r="20" spans="1:4" x14ac:dyDescent="0.25">
      <c r="A20" s="23" t="s">
        <v>179</v>
      </c>
      <c r="B20" s="87">
        <v>689</v>
      </c>
      <c r="C20" s="297"/>
      <c r="D20" s="299"/>
    </row>
    <row r="21" spans="1:4" x14ac:dyDescent="0.25">
      <c r="A21" s="23" t="s">
        <v>304</v>
      </c>
      <c r="B21" s="306">
        <f>B19/B20</f>
        <v>0.44891146589259801</v>
      </c>
      <c r="C21" s="297"/>
      <c r="D21" s="299"/>
    </row>
    <row r="22" spans="1:4" ht="15.75" thickBot="1" x14ac:dyDescent="0.3">
      <c r="A22" s="86" t="s">
        <v>384</v>
      </c>
      <c r="B22" s="401">
        <f>B21*InflationAdjustment!C19</f>
        <v>0.45699187227866478</v>
      </c>
      <c r="C22" s="300"/>
      <c r="D22" s="301"/>
    </row>
    <row r="23" spans="1:4" x14ac:dyDescent="0.25">
      <c r="A23" s="26" t="s">
        <v>305</v>
      </c>
    </row>
    <row r="24" spans="1:4" x14ac:dyDescent="0.25">
      <c r="A24" s="68" t="s">
        <v>177</v>
      </c>
    </row>
    <row r="26" spans="1:4" x14ac:dyDescent="0.25">
      <c r="B26" s="88"/>
      <c r="C26" s="88"/>
      <c r="D26" s="8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A29" sqref="A29"/>
    </sheetView>
  </sheetViews>
  <sheetFormatPr defaultColWidth="9.140625" defaultRowHeight="15" x14ac:dyDescent="0.25"/>
  <cols>
    <col min="1" max="1" width="39.5703125" style="65" customWidth="1"/>
    <col min="2" max="2" width="10.85546875" style="65" bestFit="1" customWidth="1"/>
    <col min="3" max="3" width="11.42578125" style="65" bestFit="1" customWidth="1"/>
    <col min="4" max="4" width="12.85546875" style="65" bestFit="1" customWidth="1"/>
    <col min="5" max="5" width="11.42578125" style="65" bestFit="1" customWidth="1"/>
    <col min="6" max="9" width="12.42578125" style="65" bestFit="1" customWidth="1"/>
    <col min="10" max="10" width="11.42578125" style="65" bestFit="1" customWidth="1"/>
    <col min="11" max="11" width="12.28515625" style="65" customWidth="1"/>
    <col min="12" max="12" width="12.85546875" style="65" bestFit="1" customWidth="1"/>
    <col min="13" max="13" width="2.42578125" style="65" customWidth="1"/>
    <col min="14" max="14" width="14.42578125" style="65" customWidth="1"/>
    <col min="15" max="15" width="17.42578125" style="65" customWidth="1"/>
    <col min="16" max="16" width="8.85546875" style="65" bestFit="1" customWidth="1"/>
    <col min="17" max="17" width="1.28515625" style="65" customWidth="1"/>
    <col min="18" max="18" width="51.85546875" style="65" customWidth="1"/>
    <col min="19" max="19" width="1.28515625" style="65" customWidth="1"/>
    <col min="20" max="20" width="16.28515625" style="65" bestFit="1" customWidth="1"/>
    <col min="21" max="21" width="1.28515625" style="65" customWidth="1"/>
    <col min="22" max="22" width="14.85546875" style="65" bestFit="1" customWidth="1"/>
    <col min="23" max="16384" width="9.140625" style="65"/>
  </cols>
  <sheetData>
    <row r="1" spans="1:22" ht="16.5" x14ac:dyDescent="0.3">
      <c r="A1" s="333" t="s">
        <v>351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22" ht="17.25" thickBot="1" x14ac:dyDescent="0.35">
      <c r="A2" s="333" t="s">
        <v>352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22" ht="16.5" x14ac:dyDescent="0.3">
      <c r="A3" s="335" t="s">
        <v>353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N3" s="73"/>
      <c r="Q3" s="90"/>
      <c r="R3" s="91" t="s">
        <v>180</v>
      </c>
      <c r="S3" s="91"/>
      <c r="T3" s="91"/>
      <c r="U3" s="92"/>
      <c r="V3" s="239"/>
    </row>
    <row r="4" spans="1:22" ht="17.25" thickBot="1" x14ac:dyDescent="0.3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N4" s="73"/>
      <c r="Q4" s="23"/>
      <c r="R4" s="68"/>
      <c r="S4" s="68"/>
      <c r="T4" s="93" t="s">
        <v>381</v>
      </c>
      <c r="U4" s="69"/>
      <c r="V4" s="239"/>
    </row>
    <row r="5" spans="1:22" ht="16.5" x14ac:dyDescent="0.3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6" t="s">
        <v>354</v>
      </c>
      <c r="N5" s="365" t="s">
        <v>3</v>
      </c>
      <c r="O5" s="92" t="s">
        <v>350</v>
      </c>
      <c r="Q5" s="94" t="s">
        <v>79</v>
      </c>
      <c r="R5" s="95"/>
      <c r="S5" s="95"/>
      <c r="T5" s="95"/>
      <c r="U5" s="96"/>
      <c r="V5" s="239"/>
    </row>
    <row r="6" spans="1:22" ht="32.25" x14ac:dyDescent="0.3">
      <c r="A6" s="337" t="s">
        <v>355</v>
      </c>
      <c r="B6" s="338" t="s">
        <v>356</v>
      </c>
      <c r="C6" s="338" t="s">
        <v>357</v>
      </c>
      <c r="D6" s="338" t="s">
        <v>358</v>
      </c>
      <c r="E6" s="338" t="s">
        <v>359</v>
      </c>
      <c r="F6" s="338" t="s">
        <v>360</v>
      </c>
      <c r="G6" s="338" t="s">
        <v>361</v>
      </c>
      <c r="H6" s="338" t="s">
        <v>362</v>
      </c>
      <c r="I6" s="338" t="s">
        <v>363</v>
      </c>
      <c r="J6" s="339" t="s">
        <v>364</v>
      </c>
      <c r="K6" s="340" t="s">
        <v>365</v>
      </c>
      <c r="L6" s="334"/>
      <c r="N6" s="23">
        <v>2014</v>
      </c>
      <c r="O6" s="373">
        <f>B26</f>
        <v>2578748.7244184995</v>
      </c>
      <c r="Q6" s="97"/>
      <c r="R6" s="84" t="s">
        <v>332</v>
      </c>
      <c r="S6" s="84"/>
      <c r="T6" s="359">
        <v>4643005</v>
      </c>
      <c r="U6" s="98"/>
      <c r="V6" s="241"/>
    </row>
    <row r="7" spans="1:22" ht="16.5" x14ac:dyDescent="0.3">
      <c r="A7" s="334"/>
      <c r="B7" s="341">
        <v>9897327.6699999981</v>
      </c>
      <c r="C7" s="341">
        <v>993602.05</v>
      </c>
      <c r="D7" s="341">
        <v>2938009.73</v>
      </c>
      <c r="E7" s="341">
        <v>49968188.899999999</v>
      </c>
      <c r="F7" s="341">
        <v>118251533.5</v>
      </c>
      <c r="G7" s="341">
        <v>128031257.5</v>
      </c>
      <c r="H7" s="341">
        <v>113477413</v>
      </c>
      <c r="I7" s="341">
        <v>82918997.5</v>
      </c>
      <c r="J7" s="342">
        <v>43189953.5</v>
      </c>
      <c r="K7" s="341">
        <f>SUM(B7:J7)</f>
        <v>549666283.35000002</v>
      </c>
      <c r="L7" s="334"/>
      <c r="N7" s="23">
        <v>2015</v>
      </c>
      <c r="O7" s="373">
        <f>C26</f>
        <v>29144268.751548328</v>
      </c>
      <c r="Q7" s="97"/>
      <c r="R7" s="68" t="s">
        <v>407</v>
      </c>
      <c r="S7" s="84"/>
      <c r="T7" s="359">
        <v>116955626</v>
      </c>
      <c r="U7" s="98"/>
      <c r="V7" s="241"/>
    </row>
    <row r="8" spans="1:22" ht="16.5" x14ac:dyDescent="0.3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N8" s="23">
        <v>2016</v>
      </c>
      <c r="O8" s="373">
        <f>D26</f>
        <v>1664093.690126667</v>
      </c>
      <c r="Q8" s="97"/>
      <c r="R8" s="84" t="s">
        <v>333</v>
      </c>
      <c r="S8" s="84"/>
      <c r="T8" s="359">
        <v>20073840</v>
      </c>
      <c r="U8" s="98"/>
      <c r="V8" s="241"/>
    </row>
    <row r="9" spans="1:22" ht="16.5" x14ac:dyDescent="0.3">
      <c r="A9" s="334"/>
      <c r="B9" s="343" t="s">
        <v>366</v>
      </c>
      <c r="C9" s="343" t="s">
        <v>367</v>
      </c>
      <c r="D9" s="343" t="s">
        <v>368</v>
      </c>
      <c r="E9" s="343" t="s">
        <v>369</v>
      </c>
      <c r="F9" s="482" t="s">
        <v>370</v>
      </c>
      <c r="G9" s="482"/>
      <c r="H9" s="482"/>
      <c r="I9" s="482"/>
      <c r="J9" s="482"/>
      <c r="K9" s="482"/>
      <c r="L9" s="334"/>
      <c r="N9" s="23">
        <v>2017</v>
      </c>
      <c r="O9" s="373">
        <f>E26</f>
        <v>14850520.189166665</v>
      </c>
      <c r="Q9" s="97"/>
      <c r="R9" s="84" t="s">
        <v>334</v>
      </c>
      <c r="S9" s="84"/>
      <c r="T9" s="359">
        <v>95207819</v>
      </c>
      <c r="U9" s="98"/>
      <c r="V9" s="241"/>
    </row>
    <row r="10" spans="1:22" ht="16.5" x14ac:dyDescent="0.3">
      <c r="A10" s="337" t="s">
        <v>371</v>
      </c>
      <c r="B10" s="344">
        <v>2014</v>
      </c>
      <c r="C10" s="344">
        <v>2015</v>
      </c>
      <c r="D10" s="344">
        <v>2016</v>
      </c>
      <c r="E10" s="344">
        <v>2017</v>
      </c>
      <c r="F10" s="344">
        <v>2018</v>
      </c>
      <c r="G10" s="344">
        <v>2019</v>
      </c>
      <c r="H10" s="344">
        <v>2020</v>
      </c>
      <c r="I10" s="344">
        <v>2021</v>
      </c>
      <c r="J10" s="344">
        <v>2022</v>
      </c>
      <c r="K10" s="345">
        <v>2023</v>
      </c>
      <c r="L10" s="337"/>
      <c r="N10" s="23">
        <v>2018</v>
      </c>
      <c r="O10" s="373">
        <f>F26</f>
        <v>65853659.184675835</v>
      </c>
      <c r="Q10" s="97"/>
      <c r="R10" s="84" t="s">
        <v>335</v>
      </c>
      <c r="S10" s="84"/>
      <c r="T10" s="359">
        <v>7548786</v>
      </c>
      <c r="U10" s="98"/>
      <c r="V10" s="241"/>
    </row>
    <row r="11" spans="1:22" ht="16.5" x14ac:dyDescent="0.3">
      <c r="A11" s="334"/>
      <c r="B11" s="341">
        <f>B7/4</f>
        <v>2474331.9174999995</v>
      </c>
      <c r="C11" s="341">
        <f>B7-B11+C7/4</f>
        <v>7671396.2649999987</v>
      </c>
      <c r="D11" s="352">
        <f>C7*3/4+D7/4</f>
        <v>1479703.9700000002</v>
      </c>
      <c r="E11" s="341">
        <f>D7*3/4+E7/4</f>
        <v>14695554.522499999</v>
      </c>
      <c r="F11" s="341">
        <f>E7*3/4+F7/4</f>
        <v>67039025.049999997</v>
      </c>
      <c r="G11" s="341">
        <f t="shared" ref="G11:I11" si="0">F7*3/4+G7/4</f>
        <v>120696464.5</v>
      </c>
      <c r="H11" s="341">
        <f t="shared" si="0"/>
        <v>124392796.375</v>
      </c>
      <c r="I11" s="341">
        <f t="shared" si="0"/>
        <v>105837809.125</v>
      </c>
      <c r="J11" s="341">
        <f>I7*3/4+J7/4</f>
        <v>72986736.5</v>
      </c>
      <c r="K11" s="342">
        <f>J7*3/4</f>
        <v>32392465.125</v>
      </c>
      <c r="L11" s="346">
        <f>SUM(B11:K11)</f>
        <v>549666283.35000002</v>
      </c>
      <c r="N11" s="23">
        <v>2019</v>
      </c>
      <c r="O11" s="373">
        <f>G26</f>
        <v>120845728.88015717</v>
      </c>
      <c r="Q11" s="97"/>
      <c r="R11" s="84" t="s">
        <v>336</v>
      </c>
      <c r="S11" s="84"/>
      <c r="T11" s="359">
        <v>15444944</v>
      </c>
      <c r="U11" s="98"/>
      <c r="V11" s="241"/>
    </row>
    <row r="12" spans="1:22" ht="16.5" x14ac:dyDescent="0.3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N12" s="23">
        <v>2020</v>
      </c>
      <c r="O12" s="373">
        <f>H26</f>
        <v>124476703.21709234</v>
      </c>
      <c r="Q12" s="97"/>
      <c r="R12" s="84" t="s">
        <v>337</v>
      </c>
      <c r="S12" s="84"/>
      <c r="T12" s="359">
        <v>8396386</v>
      </c>
      <c r="U12" s="98"/>
      <c r="V12" s="241"/>
    </row>
    <row r="13" spans="1:22" ht="16.5" x14ac:dyDescent="0.3">
      <c r="A13" s="334"/>
      <c r="B13" s="334"/>
      <c r="C13" s="343" t="s">
        <v>367</v>
      </c>
      <c r="D13" s="343" t="s">
        <v>368</v>
      </c>
      <c r="E13" s="343" t="s">
        <v>369</v>
      </c>
      <c r="F13" s="482" t="s">
        <v>370</v>
      </c>
      <c r="G13" s="482"/>
      <c r="H13" s="482"/>
      <c r="I13" s="334"/>
      <c r="J13" s="334"/>
      <c r="K13" s="334"/>
      <c r="L13" s="334"/>
      <c r="N13" s="23">
        <v>2021</v>
      </c>
      <c r="O13" s="373">
        <f>I26</f>
        <v>103966413.67878193</v>
      </c>
      <c r="Q13" s="97"/>
      <c r="R13" s="84" t="s">
        <v>338</v>
      </c>
      <c r="S13" s="84"/>
      <c r="T13" s="359">
        <v>5730479</v>
      </c>
      <c r="U13" s="98"/>
      <c r="V13" s="241"/>
    </row>
    <row r="14" spans="1:22" ht="16.5" x14ac:dyDescent="0.3">
      <c r="A14" s="334" t="s">
        <v>372</v>
      </c>
      <c r="B14" s="334"/>
      <c r="C14" s="344">
        <v>2015</v>
      </c>
      <c r="D14" s="344">
        <v>2016</v>
      </c>
      <c r="E14" s="344">
        <v>2017</v>
      </c>
      <c r="F14" s="344">
        <v>2018</v>
      </c>
      <c r="G14" s="344">
        <v>2019</v>
      </c>
      <c r="H14" s="344">
        <v>2020</v>
      </c>
      <c r="I14" s="334"/>
      <c r="J14" s="334"/>
      <c r="K14" s="334"/>
      <c r="L14" s="334"/>
      <c r="N14" s="23">
        <v>2022</v>
      </c>
      <c r="O14" s="373">
        <f>J26</f>
        <v>71696204.813359529</v>
      </c>
      <c r="Q14" s="97"/>
      <c r="R14" s="84" t="s">
        <v>339</v>
      </c>
      <c r="S14" s="84"/>
      <c r="T14" s="359">
        <v>8084945</v>
      </c>
      <c r="U14" s="98"/>
      <c r="V14" s="241"/>
    </row>
    <row r="15" spans="1:22" ht="16.5" x14ac:dyDescent="0.3">
      <c r="A15" s="334" t="s">
        <v>295</v>
      </c>
      <c r="B15" s="334"/>
      <c r="C15" s="341">
        <v>20441600</v>
      </c>
      <c r="D15" s="334"/>
      <c r="E15" s="334"/>
      <c r="F15" s="341"/>
      <c r="G15" s="334"/>
      <c r="H15" s="334"/>
      <c r="I15" s="334"/>
      <c r="J15" s="334"/>
      <c r="K15" s="334"/>
      <c r="L15" s="334"/>
      <c r="N15" s="70">
        <v>2023</v>
      </c>
      <c r="O15" s="374">
        <f>K26</f>
        <v>31819710.338899802</v>
      </c>
      <c r="Q15" s="97"/>
      <c r="R15" s="84" t="s">
        <v>340</v>
      </c>
      <c r="S15" s="84"/>
      <c r="T15" s="359">
        <v>750520</v>
      </c>
      <c r="U15" s="98"/>
      <c r="V15" s="241"/>
    </row>
    <row r="16" spans="1:22" ht="17.25" thickBot="1" x14ac:dyDescent="0.35">
      <c r="A16" s="334" t="s">
        <v>292</v>
      </c>
      <c r="B16" s="334"/>
      <c r="C16" s="341">
        <v>154965.66666666666</v>
      </c>
      <c r="D16" s="341">
        <v>154965.66666666666</v>
      </c>
      <c r="E16" s="341">
        <v>154965.66666666666</v>
      </c>
      <c r="F16" s="341"/>
      <c r="G16" s="334"/>
      <c r="H16" s="334"/>
      <c r="I16" s="334"/>
      <c r="J16" s="334"/>
      <c r="K16" s="334"/>
      <c r="L16" s="334"/>
      <c r="N16" s="358" t="s">
        <v>378</v>
      </c>
      <c r="O16" s="375">
        <f>SUM(O6:O15)</f>
        <v>566896051.46822679</v>
      </c>
      <c r="Q16" s="97"/>
      <c r="R16" s="84" t="s">
        <v>341</v>
      </c>
      <c r="S16" s="84"/>
      <c r="T16" s="359">
        <v>4615208</v>
      </c>
      <c r="U16" s="98"/>
      <c r="V16" s="241"/>
    </row>
    <row r="17" spans="1:22" ht="16.5" x14ac:dyDescent="0.3">
      <c r="A17" s="347" t="s">
        <v>428</v>
      </c>
      <c r="B17" s="334"/>
      <c r="C17" s="341"/>
      <c r="D17" s="334"/>
      <c r="E17" s="334"/>
      <c r="F17" s="341"/>
      <c r="G17" s="348">
        <v>2324487.5</v>
      </c>
      <c r="H17" s="348">
        <v>2324487.5</v>
      </c>
      <c r="I17" s="334"/>
      <c r="J17" s="334"/>
      <c r="K17" s="334"/>
      <c r="L17" s="334"/>
      <c r="N17" s="377" t="s">
        <v>310</v>
      </c>
      <c r="O17" s="376">
        <f>0.005*O16</f>
        <v>2834480.2573411339</v>
      </c>
      <c r="P17" s="65" t="s">
        <v>237</v>
      </c>
      <c r="Q17" s="97"/>
      <c r="R17" s="84" t="s">
        <v>342</v>
      </c>
      <c r="S17" s="84"/>
      <c r="T17" s="359">
        <v>800000</v>
      </c>
      <c r="U17" s="98"/>
      <c r="V17" s="241"/>
    </row>
    <row r="18" spans="1:22" ht="16.5" x14ac:dyDescent="0.3">
      <c r="A18" s="334" t="s">
        <v>80</v>
      </c>
      <c r="B18" s="334"/>
      <c r="C18" s="341">
        <f>SUM(C15:C17)</f>
        <v>20596565.666666668</v>
      </c>
      <c r="D18" s="341">
        <f t="shared" ref="D18:H18" si="1">SUM(D15:D17)</f>
        <v>154965.66666666666</v>
      </c>
      <c r="E18" s="341">
        <f t="shared" si="1"/>
        <v>154965.66666666666</v>
      </c>
      <c r="F18" s="341">
        <f t="shared" si="1"/>
        <v>0</v>
      </c>
      <c r="G18" s="341">
        <f t="shared" si="1"/>
        <v>2324487.5</v>
      </c>
      <c r="H18" s="341">
        <f t="shared" si="1"/>
        <v>2324487.5</v>
      </c>
      <c r="I18" s="334"/>
      <c r="J18" s="334"/>
      <c r="K18" s="334"/>
      <c r="L18" s="346">
        <f>SUM(B18:K18)</f>
        <v>25555472.000000004</v>
      </c>
      <c r="N18" s="152"/>
      <c r="Q18" s="97"/>
      <c r="R18" s="84" t="s">
        <v>343</v>
      </c>
      <c r="S18" s="84"/>
      <c r="T18" s="359">
        <v>20210947</v>
      </c>
      <c r="U18" s="98"/>
      <c r="V18" s="241"/>
    </row>
    <row r="19" spans="1:22" ht="16.5" x14ac:dyDescent="0.3">
      <c r="A19" s="334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N19" s="152"/>
      <c r="Q19" s="97"/>
      <c r="R19" s="84" t="s">
        <v>344</v>
      </c>
      <c r="S19" s="84"/>
      <c r="T19" s="359">
        <v>1993566</v>
      </c>
      <c r="U19" s="98"/>
      <c r="V19" s="241"/>
    </row>
    <row r="20" spans="1:22" ht="16.5" x14ac:dyDescent="0.3">
      <c r="A20" s="334"/>
      <c r="B20" s="343" t="s">
        <v>366</v>
      </c>
      <c r="C20" s="343" t="s">
        <v>367</v>
      </c>
      <c r="D20" s="343" t="s">
        <v>368</v>
      </c>
      <c r="E20" s="343" t="s">
        <v>369</v>
      </c>
      <c r="F20" s="482" t="s">
        <v>370</v>
      </c>
      <c r="G20" s="482"/>
      <c r="H20" s="482"/>
      <c r="I20" s="482"/>
      <c r="J20" s="482"/>
      <c r="K20" s="482"/>
      <c r="L20" s="334"/>
      <c r="N20" s="152"/>
      <c r="Q20" s="97"/>
      <c r="R20" s="84" t="s">
        <v>345</v>
      </c>
      <c r="S20" s="84"/>
      <c r="T20" s="359">
        <v>112532104</v>
      </c>
      <c r="U20" s="98"/>
      <c r="V20" s="241"/>
    </row>
    <row r="21" spans="1:22" ht="16.5" x14ac:dyDescent="0.3">
      <c r="A21" s="334"/>
      <c r="B21" s="344">
        <v>2014</v>
      </c>
      <c r="C21" s="344">
        <v>2015</v>
      </c>
      <c r="D21" s="344">
        <v>2016</v>
      </c>
      <c r="E21" s="344">
        <v>2017</v>
      </c>
      <c r="F21" s="344">
        <v>2018</v>
      </c>
      <c r="G21" s="344">
        <v>2019</v>
      </c>
      <c r="H21" s="344">
        <v>2020</v>
      </c>
      <c r="I21" s="344">
        <v>2021</v>
      </c>
      <c r="J21" s="344">
        <v>2022</v>
      </c>
      <c r="K21" s="345">
        <v>2023</v>
      </c>
      <c r="L21" s="334"/>
      <c r="N21" s="152"/>
      <c r="Q21" s="97"/>
      <c r="R21" s="84" t="s">
        <v>346</v>
      </c>
      <c r="S21" s="84"/>
      <c r="T21" s="359">
        <v>36201180</v>
      </c>
      <c r="U21" s="98"/>
      <c r="V21" s="241"/>
    </row>
    <row r="22" spans="1:22" ht="16.5" x14ac:dyDescent="0.3">
      <c r="A22" s="356" t="s">
        <v>373</v>
      </c>
      <c r="B22" s="341">
        <f>B11</f>
        <v>2474331.9174999995</v>
      </c>
      <c r="C22" s="341">
        <f>C11+C18</f>
        <v>28267961.931666665</v>
      </c>
      <c r="D22" s="341">
        <f t="shared" ref="D22:K22" si="2">D11+D18</f>
        <v>1634669.6366666669</v>
      </c>
      <c r="E22" s="341">
        <f>E11+E18</f>
        <v>14850520.189166665</v>
      </c>
      <c r="F22" s="341">
        <f t="shared" si="2"/>
        <v>67039025.049999997</v>
      </c>
      <c r="G22" s="341">
        <f t="shared" si="2"/>
        <v>123020952</v>
      </c>
      <c r="H22" s="341">
        <f t="shared" si="2"/>
        <v>126717283.875</v>
      </c>
      <c r="I22" s="341">
        <f t="shared" si="2"/>
        <v>105837809.125</v>
      </c>
      <c r="J22" s="341">
        <f t="shared" si="2"/>
        <v>72986736.5</v>
      </c>
      <c r="K22" s="342">
        <f t="shared" si="2"/>
        <v>32392465.125</v>
      </c>
      <c r="L22" s="357">
        <f>L11+L18</f>
        <v>575221755.35000002</v>
      </c>
      <c r="N22" s="152"/>
      <c r="Q22" s="97"/>
      <c r="R22" s="84" t="s">
        <v>296</v>
      </c>
      <c r="S22" s="84"/>
      <c r="T22" s="359">
        <v>10852388</v>
      </c>
      <c r="U22" s="98"/>
      <c r="V22" s="241"/>
    </row>
    <row r="23" spans="1:22" x14ac:dyDescent="0.25">
      <c r="Q23" s="97"/>
      <c r="R23" s="84" t="s">
        <v>347</v>
      </c>
      <c r="S23" s="84"/>
      <c r="T23" s="359">
        <v>4664974</v>
      </c>
      <c r="U23" s="98"/>
      <c r="V23" s="241"/>
    </row>
    <row r="24" spans="1:22" ht="16.5" x14ac:dyDescent="0.3">
      <c r="B24" s="483" t="s">
        <v>369</v>
      </c>
      <c r="C24" s="483"/>
      <c r="D24" s="483"/>
      <c r="E24" s="483"/>
      <c r="F24" s="483"/>
      <c r="G24" s="483"/>
      <c r="H24" s="483"/>
      <c r="I24" s="483"/>
      <c r="J24" s="483"/>
      <c r="K24" s="483"/>
      <c r="Q24" s="97"/>
      <c r="R24" s="84" t="s">
        <v>309</v>
      </c>
      <c r="S24" s="84"/>
      <c r="T24" s="359">
        <v>18097757</v>
      </c>
      <c r="U24" s="98"/>
      <c r="V24" s="241"/>
    </row>
    <row r="25" spans="1:22" ht="16.5" x14ac:dyDescent="0.3">
      <c r="B25" s="344">
        <v>2014</v>
      </c>
      <c r="C25" s="344">
        <v>2015</v>
      </c>
      <c r="D25" s="344">
        <v>2016</v>
      </c>
      <c r="E25" s="344">
        <v>2017</v>
      </c>
      <c r="F25" s="344">
        <v>2018</v>
      </c>
      <c r="G25" s="344">
        <v>2019</v>
      </c>
      <c r="H25" s="344">
        <v>2020</v>
      </c>
      <c r="I25" s="344">
        <v>2021</v>
      </c>
      <c r="J25" s="344">
        <v>2022</v>
      </c>
      <c r="K25" s="345">
        <v>2023</v>
      </c>
      <c r="L25" s="353" t="s">
        <v>377</v>
      </c>
      <c r="Q25" s="97"/>
      <c r="R25" s="84" t="s">
        <v>348</v>
      </c>
      <c r="S25" s="84"/>
      <c r="T25" s="359">
        <v>8727037</v>
      </c>
      <c r="U25" s="98"/>
      <c r="V25" s="241"/>
    </row>
    <row r="26" spans="1:22" ht="16.5" x14ac:dyDescent="0.3">
      <c r="A26" s="355" t="s">
        <v>374</v>
      </c>
      <c r="B26" s="341">
        <f>B22*InflationAdjustment!C17</f>
        <v>2578748.7244184995</v>
      </c>
      <c r="C26" s="341">
        <f>C22*InflationAdjustment!C18</f>
        <v>29144268.751548328</v>
      </c>
      <c r="D26" s="352">
        <f>D22*InflationAdjustment!C19</f>
        <v>1664093.690126667</v>
      </c>
      <c r="E26" s="341">
        <f>E22</f>
        <v>14850520.189166665</v>
      </c>
      <c r="F26" s="341">
        <f>F22*InflationAdjustment!$C$28</f>
        <v>65853659.184675835</v>
      </c>
      <c r="G26" s="341">
        <f>G22*InflationAdjustment!$C$28</f>
        <v>120845728.88015717</v>
      </c>
      <c r="H26" s="341">
        <f>H22*InflationAdjustment!$C$28</f>
        <v>124476703.21709234</v>
      </c>
      <c r="I26" s="341">
        <f>I22*InflationAdjustment!$C$28</f>
        <v>103966413.67878193</v>
      </c>
      <c r="J26" s="341">
        <f>J22*InflationAdjustment!$C$28</f>
        <v>71696204.813359529</v>
      </c>
      <c r="K26" s="342">
        <f>K22*InflationAdjustment!$C$28</f>
        <v>31819710.338899802</v>
      </c>
      <c r="L26" s="354">
        <f>SUM(B26:K26)</f>
        <v>566896051.46822679</v>
      </c>
      <c r="Q26" s="97"/>
      <c r="R26" s="84" t="s">
        <v>297</v>
      </c>
      <c r="S26" s="84"/>
      <c r="T26" s="359">
        <v>41400000</v>
      </c>
      <c r="U26" s="98"/>
      <c r="V26" s="241"/>
    </row>
    <row r="27" spans="1:22" x14ac:dyDescent="0.25">
      <c r="Q27" s="97"/>
      <c r="R27" s="84" t="s">
        <v>349</v>
      </c>
      <c r="S27" s="84"/>
      <c r="T27" s="359">
        <v>6734744</v>
      </c>
      <c r="U27" s="98"/>
      <c r="V27" s="241"/>
    </row>
    <row r="28" spans="1:22" ht="8.25" customHeight="1" x14ac:dyDescent="0.25">
      <c r="Q28" s="97"/>
      <c r="R28" s="84"/>
      <c r="S28" s="84"/>
      <c r="T28" s="359"/>
      <c r="U28" s="98"/>
      <c r="V28" s="241"/>
    </row>
    <row r="29" spans="1:22" x14ac:dyDescent="0.25">
      <c r="P29" s="242"/>
      <c r="Q29" s="97"/>
      <c r="R29" s="325" t="s">
        <v>80</v>
      </c>
      <c r="S29" s="84"/>
      <c r="T29" s="359">
        <f>SUM(T6:T28)</f>
        <v>549666255</v>
      </c>
      <c r="U29" s="98"/>
      <c r="V29" s="371" t="s">
        <v>380</v>
      </c>
    </row>
    <row r="30" spans="1:22" ht="4.5" customHeight="1" x14ac:dyDescent="0.25">
      <c r="P30" s="242"/>
      <c r="Q30" s="23"/>
      <c r="R30" s="68"/>
      <c r="S30" s="68"/>
      <c r="T30" s="360"/>
      <c r="U30" s="98"/>
      <c r="V30" s="241"/>
    </row>
    <row r="31" spans="1:22" x14ac:dyDescent="0.25">
      <c r="N31" s="242"/>
      <c r="P31" s="242"/>
      <c r="Q31" s="97" t="s">
        <v>228</v>
      </c>
      <c r="R31" s="84"/>
      <c r="S31" s="84"/>
      <c r="T31" s="361"/>
      <c r="U31" s="98"/>
      <c r="V31" s="241"/>
    </row>
    <row r="32" spans="1:22" x14ac:dyDescent="0.25">
      <c r="N32" s="243"/>
      <c r="Q32" s="97"/>
      <c r="R32" s="84" t="s">
        <v>295</v>
      </c>
      <c r="S32" s="84"/>
      <c r="T32" s="361">
        <f>C15</f>
        <v>20441600</v>
      </c>
      <c r="U32" s="98"/>
      <c r="V32" s="241">
        <v>2015</v>
      </c>
    </row>
    <row r="33" spans="14:22" x14ac:dyDescent="0.25">
      <c r="N33" s="242"/>
      <c r="Q33" s="97"/>
      <c r="R33" s="84" t="s">
        <v>292</v>
      </c>
      <c r="S33" s="84"/>
      <c r="T33" s="361">
        <f>SUM(C16:E16)</f>
        <v>464897</v>
      </c>
      <c r="U33" s="98"/>
      <c r="V33" s="241" t="s">
        <v>294</v>
      </c>
    </row>
    <row r="34" spans="14:22" ht="15.75" customHeight="1" x14ac:dyDescent="0.25">
      <c r="N34" s="242"/>
      <c r="Q34" s="97"/>
      <c r="R34" s="84" t="s">
        <v>293</v>
      </c>
      <c r="S34" s="84"/>
      <c r="T34" s="361">
        <f>G17+H17</f>
        <v>4648975</v>
      </c>
      <c r="U34" s="98"/>
      <c r="V34" s="241" t="s">
        <v>379</v>
      </c>
    </row>
    <row r="35" spans="14:22" ht="15.75" customHeight="1" x14ac:dyDescent="0.25">
      <c r="N35" s="242"/>
      <c r="Q35" s="367"/>
      <c r="R35" s="325" t="s">
        <v>80</v>
      </c>
      <c r="S35" s="84"/>
      <c r="T35" s="359">
        <f>SUM(T32:T34)</f>
        <v>25555472</v>
      </c>
      <c r="U35" s="368"/>
      <c r="V35" s="372" t="s">
        <v>380</v>
      </c>
    </row>
    <row r="36" spans="14:22" x14ac:dyDescent="0.25">
      <c r="N36" s="242"/>
      <c r="Q36" s="367"/>
      <c r="R36" s="369" t="s">
        <v>2</v>
      </c>
      <c r="S36" s="369"/>
      <c r="T36" s="370">
        <f>T29+T35</f>
        <v>575221727</v>
      </c>
      <c r="U36" s="368"/>
      <c r="V36" s="372" t="s">
        <v>380</v>
      </c>
    </row>
    <row r="37" spans="14:22" ht="5.25" customHeight="1" thickBot="1" x14ac:dyDescent="0.3">
      <c r="N37" s="152"/>
      <c r="Q37" s="99"/>
      <c r="R37" s="362"/>
      <c r="S37" s="363"/>
      <c r="T37" s="364"/>
      <c r="U37" s="100"/>
    </row>
    <row r="38" spans="14:22" x14ac:dyDescent="0.25">
      <c r="N38" s="152"/>
    </row>
    <row r="39" spans="14:22" x14ac:dyDescent="0.25">
      <c r="N39" s="152"/>
    </row>
    <row r="40" spans="14:22" x14ac:dyDescent="0.25">
      <c r="N40" s="152"/>
    </row>
    <row r="41" spans="14:22" x14ac:dyDescent="0.25">
      <c r="N41" s="152"/>
    </row>
    <row r="42" spans="14:22" x14ac:dyDescent="0.25">
      <c r="N42" s="152"/>
    </row>
  </sheetData>
  <mergeCells count="4">
    <mergeCell ref="F9:K9"/>
    <mergeCell ref="F13:H13"/>
    <mergeCell ref="F20:K20"/>
    <mergeCell ref="B24:K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workbookViewId="0">
      <selection activeCell="I15" sqref="I15"/>
    </sheetView>
  </sheetViews>
  <sheetFormatPr defaultColWidth="9.140625" defaultRowHeight="15" x14ac:dyDescent="0.25"/>
  <cols>
    <col min="1" max="1" width="31.85546875" style="101" customWidth="1"/>
    <col min="2" max="2" width="13.85546875" style="101" bestFit="1" customWidth="1"/>
    <col min="3" max="3" width="15.28515625" style="101" bestFit="1" customWidth="1"/>
    <col min="4" max="4" width="22" style="101" customWidth="1"/>
    <col min="5" max="5" width="12.7109375" style="101" bestFit="1" customWidth="1"/>
    <col min="6" max="6" width="14.140625" style="101" bestFit="1" customWidth="1"/>
    <col min="7" max="7" width="15.7109375" style="101" bestFit="1" customWidth="1"/>
    <col min="8" max="8" width="14.85546875" style="101" bestFit="1" customWidth="1"/>
    <col min="9" max="9" width="15.7109375" style="101" bestFit="1" customWidth="1"/>
    <col min="10" max="10" width="15.28515625" style="101" bestFit="1" customWidth="1"/>
    <col min="11" max="11" width="14.140625" style="101" bestFit="1" customWidth="1"/>
    <col min="12" max="12" width="15.7109375" style="101" bestFit="1" customWidth="1"/>
    <col min="13" max="13" width="14.85546875" style="101" bestFit="1" customWidth="1"/>
    <col min="14" max="16384" width="9.140625" style="101"/>
  </cols>
  <sheetData>
    <row r="1" spans="1:12" ht="15.75" x14ac:dyDescent="0.25">
      <c r="A1" s="484" t="s">
        <v>110</v>
      </c>
      <c r="B1" s="485"/>
      <c r="C1" s="485"/>
      <c r="D1" s="486"/>
    </row>
    <row r="2" spans="1:12" x14ac:dyDescent="0.25">
      <c r="A2" s="102"/>
      <c r="B2" s="103" t="s">
        <v>5</v>
      </c>
      <c r="C2" s="103" t="s">
        <v>6</v>
      </c>
      <c r="D2" s="32" t="s">
        <v>115</v>
      </c>
    </row>
    <row r="3" spans="1:12" ht="30" x14ac:dyDescent="0.25">
      <c r="A3" s="102" t="s">
        <v>111</v>
      </c>
      <c r="B3" s="77">
        <v>2</v>
      </c>
      <c r="C3" s="104" t="s">
        <v>112</v>
      </c>
      <c r="D3" s="105" t="s">
        <v>236</v>
      </c>
    </row>
    <row r="4" spans="1:12" ht="30" x14ac:dyDescent="0.25">
      <c r="A4" s="106" t="s">
        <v>113</v>
      </c>
      <c r="B4" s="33">
        <v>3</v>
      </c>
      <c r="C4" s="104" t="s">
        <v>203</v>
      </c>
      <c r="D4" s="105" t="s">
        <v>235</v>
      </c>
    </row>
    <row r="5" spans="1:12" ht="15.75" thickBot="1" x14ac:dyDescent="0.3">
      <c r="A5" s="107" t="s">
        <v>114</v>
      </c>
      <c r="B5" s="34">
        <f>8000/53</f>
        <v>150.9433962264151</v>
      </c>
      <c r="C5" s="108" t="s">
        <v>204</v>
      </c>
      <c r="D5" s="109" t="s">
        <v>229</v>
      </c>
    </row>
    <row r="6" spans="1:12" ht="15.75" thickBot="1" x14ac:dyDescent="0.3">
      <c r="A6" s="77"/>
      <c r="B6" s="110"/>
      <c r="C6" s="77"/>
      <c r="D6" s="77"/>
    </row>
    <row r="7" spans="1:12" x14ac:dyDescent="0.25">
      <c r="A7" s="35"/>
      <c r="B7" s="111" t="s">
        <v>5</v>
      </c>
      <c r="C7" s="112" t="s">
        <v>6</v>
      </c>
      <c r="D7" s="113" t="s">
        <v>115</v>
      </c>
    </row>
    <row r="8" spans="1:12" ht="60" x14ac:dyDescent="0.25">
      <c r="A8" s="106" t="s">
        <v>54</v>
      </c>
      <c r="B8" s="77">
        <f>40*0.95</f>
        <v>38</v>
      </c>
      <c r="C8" s="77" t="s">
        <v>52</v>
      </c>
      <c r="D8" s="105" t="s">
        <v>234</v>
      </c>
    </row>
    <row r="9" spans="1:12" ht="30.75" thickBot="1" x14ac:dyDescent="0.3">
      <c r="A9" s="107" t="s">
        <v>207</v>
      </c>
      <c r="B9" s="220">
        <v>58.8</v>
      </c>
      <c r="C9" s="220" t="s">
        <v>52</v>
      </c>
      <c r="D9" s="109" t="s">
        <v>221</v>
      </c>
    </row>
    <row r="10" spans="1:12" ht="15.75" thickBot="1" x14ac:dyDescent="0.3">
      <c r="A10" s="77"/>
      <c r="B10" s="104"/>
      <c r="C10" s="29"/>
      <c r="D10" s="104"/>
    </row>
    <row r="11" spans="1:12" ht="15.75" x14ac:dyDescent="0.25">
      <c r="A11" s="31" t="s">
        <v>116</v>
      </c>
      <c r="B11" s="114"/>
      <c r="C11" s="114"/>
      <c r="D11" s="114"/>
      <c r="E11" s="114"/>
      <c r="F11" s="114"/>
      <c r="G11" s="114"/>
      <c r="H11" s="115"/>
    </row>
    <row r="12" spans="1:12" x14ac:dyDescent="0.25">
      <c r="A12" s="102"/>
      <c r="B12" s="77"/>
      <c r="C12" s="77"/>
      <c r="D12" s="77"/>
      <c r="E12" s="77"/>
      <c r="F12" s="77"/>
      <c r="G12" s="77"/>
      <c r="H12" s="116"/>
    </row>
    <row r="13" spans="1:12" x14ac:dyDescent="0.25">
      <c r="A13" s="102"/>
      <c r="B13" s="489" t="s">
        <v>117</v>
      </c>
      <c r="C13" s="487"/>
      <c r="D13" s="488"/>
      <c r="E13" s="489" t="s">
        <v>118</v>
      </c>
      <c r="F13" s="487"/>
      <c r="G13" s="488"/>
      <c r="H13" s="32" t="s">
        <v>55</v>
      </c>
    </row>
    <row r="14" spans="1:12" x14ac:dyDescent="0.25">
      <c r="A14" s="117" t="s">
        <v>4</v>
      </c>
      <c r="B14" s="118" t="s">
        <v>137</v>
      </c>
      <c r="C14" s="119" t="s">
        <v>138</v>
      </c>
      <c r="D14" s="120" t="s">
        <v>149</v>
      </c>
      <c r="E14" s="118" t="s">
        <v>137</v>
      </c>
      <c r="F14" s="119" t="s">
        <v>138</v>
      </c>
      <c r="G14" s="120" t="s">
        <v>149</v>
      </c>
      <c r="H14" s="116" t="s">
        <v>229</v>
      </c>
    </row>
    <row r="15" spans="1:12" x14ac:dyDescent="0.25">
      <c r="A15" s="106" t="s">
        <v>123</v>
      </c>
      <c r="B15" s="121">
        <v>40</v>
      </c>
      <c r="C15" s="77">
        <v>225</v>
      </c>
      <c r="D15" s="122">
        <v>645</v>
      </c>
      <c r="E15" s="123">
        <f>'Without Project Port Usage'!B9</f>
        <v>121.50000000000001</v>
      </c>
      <c r="F15" s="85">
        <f>'Without Project Port Usage'!B19</f>
        <v>321.10000000000002</v>
      </c>
      <c r="G15" s="124">
        <f>'Without Project Port Usage'!B29</f>
        <v>287.60000000000002</v>
      </c>
      <c r="H15" s="116" t="s">
        <v>308</v>
      </c>
      <c r="I15" s="218"/>
      <c r="J15" s="218"/>
      <c r="K15" s="218"/>
      <c r="L15" s="218"/>
    </row>
    <row r="16" spans="1:12" x14ac:dyDescent="0.25">
      <c r="A16" s="106" t="s">
        <v>122</v>
      </c>
      <c r="B16" s="121">
        <f>60*0.9</f>
        <v>54</v>
      </c>
      <c r="C16" s="125">
        <f>C15*60/C17</f>
        <v>68.947906026557703</v>
      </c>
      <c r="D16" s="126">
        <f>D15*60/D17</f>
        <v>67.787703625853908</v>
      </c>
      <c r="E16" s="123">
        <f>'Without Project Port Usage'!D9</f>
        <v>47.600537936879284</v>
      </c>
      <c r="F16" s="85">
        <f>'Without Project Port Usage'!D19</f>
        <v>64.895156762503575</v>
      </c>
      <c r="G16" s="124">
        <f>'Without Project Port Usage'!D29</f>
        <v>65.951897034758844</v>
      </c>
      <c r="H16" s="116" t="s">
        <v>233</v>
      </c>
    </row>
    <row r="17" spans="1:9" x14ac:dyDescent="0.25">
      <c r="A17" s="106" t="s">
        <v>124</v>
      </c>
      <c r="B17" s="127">
        <f>B15*60/B16</f>
        <v>44.444444444444443</v>
      </c>
      <c r="C17" s="128">
        <f>(2*60+58)*1.1</f>
        <v>195.8</v>
      </c>
      <c r="D17" s="129">
        <f>(8*60+39)*1.1</f>
        <v>570.90000000000009</v>
      </c>
      <c r="E17" s="130">
        <f>'Without Project Port Usage'!C9</f>
        <v>125.92500000000001</v>
      </c>
      <c r="F17" s="131">
        <f>'Without Project Port Usage'!C19</f>
        <v>295.29500000000007</v>
      </c>
      <c r="G17" s="132">
        <f>'Without Project Port Usage'!C29</f>
        <v>261.96500000000003</v>
      </c>
      <c r="H17" s="116"/>
    </row>
    <row r="18" spans="1:9" x14ac:dyDescent="0.25">
      <c r="A18" s="102"/>
      <c r="B18" s="77"/>
      <c r="C18" s="77"/>
      <c r="D18" s="77"/>
      <c r="E18" s="77"/>
      <c r="F18" s="77"/>
      <c r="G18" s="77"/>
      <c r="H18" s="116"/>
    </row>
    <row r="19" spans="1:9" x14ac:dyDescent="0.25">
      <c r="A19" s="102"/>
      <c r="B19" s="489" t="s">
        <v>117</v>
      </c>
      <c r="C19" s="487"/>
      <c r="D19" s="488"/>
      <c r="E19" s="487" t="s">
        <v>118</v>
      </c>
      <c r="F19" s="487"/>
      <c r="G19" s="488"/>
      <c r="H19" s="32" t="s">
        <v>55</v>
      </c>
    </row>
    <row r="20" spans="1:9" x14ac:dyDescent="0.25">
      <c r="A20" s="117" t="s">
        <v>133</v>
      </c>
      <c r="B20" s="118" t="s">
        <v>158</v>
      </c>
      <c r="C20" s="119" t="s">
        <v>159</v>
      </c>
      <c r="D20" s="120" t="s">
        <v>149</v>
      </c>
      <c r="E20" s="119" t="s">
        <v>137</v>
      </c>
      <c r="F20" s="119" t="s">
        <v>138</v>
      </c>
      <c r="G20" s="120" t="s">
        <v>149</v>
      </c>
      <c r="H20" s="116" t="s">
        <v>229</v>
      </c>
    </row>
    <row r="21" spans="1:9" x14ac:dyDescent="0.25">
      <c r="A21" s="106" t="s">
        <v>119</v>
      </c>
      <c r="B21" s="50">
        <v>0</v>
      </c>
      <c r="C21" s="29">
        <v>0</v>
      </c>
      <c r="D21" s="53">
        <f>D15</f>
        <v>645</v>
      </c>
      <c r="E21" s="133">
        <f>'Without Project Port Usage'!H9</f>
        <v>1845.0500000000002</v>
      </c>
      <c r="F21" s="133">
        <f>'Without Project Port Usage'!H19</f>
        <v>1650.0000000000002</v>
      </c>
      <c r="G21" s="134">
        <f>'Without Project Port Usage'!H29</f>
        <v>1061.45</v>
      </c>
      <c r="H21" s="116" t="s">
        <v>308</v>
      </c>
    </row>
    <row r="22" spans="1:9" x14ac:dyDescent="0.25">
      <c r="A22" s="106" t="s">
        <v>120</v>
      </c>
      <c r="B22" s="50">
        <v>0</v>
      </c>
      <c r="C22" s="29">
        <v>0</v>
      </c>
      <c r="D22" s="124">
        <v>31</v>
      </c>
      <c r="E22" s="85">
        <f>'Without Project Port Usage'!J9</f>
        <v>31</v>
      </c>
      <c r="F22" s="85">
        <f>'Without Project Port Usage'!J19</f>
        <v>31</v>
      </c>
      <c r="G22" s="124">
        <f>'Without Project Port Usage'!J29</f>
        <v>31</v>
      </c>
      <c r="H22" s="116" t="s">
        <v>233</v>
      </c>
    </row>
    <row r="23" spans="1:9" x14ac:dyDescent="0.25">
      <c r="A23" s="106" t="s">
        <v>121</v>
      </c>
      <c r="B23" s="51">
        <v>0</v>
      </c>
      <c r="C23" s="52">
        <v>0</v>
      </c>
      <c r="D23" s="135">
        <f>D21*60/D22</f>
        <v>1248.3870967741937</v>
      </c>
      <c r="E23" s="131">
        <f>'Without Project Port Usage'!I9</f>
        <v>3571.0645161290322</v>
      </c>
      <c r="F23" s="131">
        <f>'Without Project Port Usage'!I19</f>
        <v>3193.5483870967746</v>
      </c>
      <c r="G23" s="132">
        <f>'Without Project Port Usage'!I29</f>
        <v>2054.4193548387093</v>
      </c>
      <c r="H23" s="116"/>
    </row>
    <row r="24" spans="1:9" x14ac:dyDescent="0.25">
      <c r="A24" s="136" t="s">
        <v>160</v>
      </c>
      <c r="B24" s="137"/>
      <c r="C24" s="137"/>
      <c r="D24" s="137"/>
      <c r="E24" s="137"/>
      <c r="F24" s="77"/>
      <c r="G24" s="77"/>
      <c r="H24" s="116"/>
    </row>
    <row r="25" spans="1:9" x14ac:dyDescent="0.25">
      <c r="A25" s="102"/>
      <c r="B25" s="77"/>
      <c r="C25" s="77"/>
      <c r="D25" s="77"/>
      <c r="E25" s="77"/>
      <c r="F25" s="77"/>
      <c r="G25" s="77"/>
      <c r="H25" s="32" t="s">
        <v>55</v>
      </c>
    </row>
    <row r="26" spans="1:9" x14ac:dyDescent="0.25">
      <c r="A26" s="102"/>
      <c r="B26" s="489" t="s">
        <v>244</v>
      </c>
      <c r="C26" s="487"/>
      <c r="D26" s="488"/>
      <c r="E26" s="489" t="s">
        <v>245</v>
      </c>
      <c r="F26" s="487"/>
      <c r="G26" s="488"/>
      <c r="H26" s="116" t="s">
        <v>229</v>
      </c>
      <c r="I26" s="104"/>
    </row>
    <row r="27" spans="1:9" x14ac:dyDescent="0.25">
      <c r="A27" s="102" t="s">
        <v>139</v>
      </c>
      <c r="B27" s="118" t="s">
        <v>137</v>
      </c>
      <c r="C27" s="119" t="s">
        <v>138</v>
      </c>
      <c r="D27" s="120" t="s">
        <v>149</v>
      </c>
      <c r="E27" s="118" t="s">
        <v>137</v>
      </c>
      <c r="F27" s="119" t="s">
        <v>138</v>
      </c>
      <c r="G27" s="120" t="s">
        <v>149</v>
      </c>
      <c r="H27" s="116" t="s">
        <v>308</v>
      </c>
    </row>
    <row r="28" spans="1:9" x14ac:dyDescent="0.25">
      <c r="A28" s="102" t="s">
        <v>4</v>
      </c>
      <c r="B28" s="138">
        <f>(1-D29)*0.7</f>
        <v>0.61319999999999997</v>
      </c>
      <c r="C28" s="139">
        <f>(1-D29)*0.25</f>
        <v>0.219</v>
      </c>
      <c r="D28" s="140">
        <f>(1-D29)*0.05</f>
        <v>4.3800000000000006E-2</v>
      </c>
      <c r="E28" s="138">
        <f>B28-E29</f>
        <v>0.52122000000000002</v>
      </c>
      <c r="F28" s="139">
        <f>C28-F29</f>
        <v>0.15329999999999999</v>
      </c>
      <c r="G28" s="140">
        <f>SUM(D28:D29)-G29</f>
        <v>0.11746000000000001</v>
      </c>
      <c r="H28" s="116"/>
    </row>
    <row r="29" spans="1:9" x14ac:dyDescent="0.25">
      <c r="A29" s="102" t="s">
        <v>133</v>
      </c>
      <c r="B29" s="141">
        <v>0</v>
      </c>
      <c r="C29" s="142">
        <v>0</v>
      </c>
      <c r="D29" s="143">
        <v>0.124</v>
      </c>
      <c r="E29" s="141">
        <f>E35*B28</f>
        <v>9.1979999999999992E-2</v>
      </c>
      <c r="F29" s="142">
        <f>F35*C28</f>
        <v>6.5699999999999995E-2</v>
      </c>
      <c r="G29" s="143">
        <f>SUM(D28:D29)*G35</f>
        <v>5.0340000000000003E-2</v>
      </c>
      <c r="H29" s="116"/>
    </row>
    <row r="30" spans="1:9" x14ac:dyDescent="0.25">
      <c r="A30" s="106"/>
      <c r="B30" s="77"/>
      <c r="C30" s="77"/>
      <c r="D30" s="77"/>
      <c r="E30" s="77"/>
      <c r="F30" s="77"/>
      <c r="G30" s="77"/>
      <c r="H30" s="116"/>
    </row>
    <row r="31" spans="1:9" x14ac:dyDescent="0.25">
      <c r="A31" s="102"/>
      <c r="B31" s="77"/>
      <c r="C31" s="77"/>
      <c r="D31" s="77"/>
      <c r="E31" s="77"/>
      <c r="F31" s="77"/>
      <c r="G31" s="77"/>
      <c r="H31" s="32" t="s">
        <v>55</v>
      </c>
    </row>
    <row r="32" spans="1:9" x14ac:dyDescent="0.25">
      <c r="A32" s="102"/>
      <c r="B32" s="492" t="s">
        <v>243</v>
      </c>
      <c r="C32" s="490"/>
      <c r="D32" s="491"/>
      <c r="E32" s="490" t="s">
        <v>246</v>
      </c>
      <c r="F32" s="490"/>
      <c r="G32" s="491"/>
      <c r="H32" s="116" t="s">
        <v>229</v>
      </c>
    </row>
    <row r="33" spans="1:8" x14ac:dyDescent="0.25">
      <c r="A33" s="102" t="s">
        <v>242</v>
      </c>
      <c r="B33" s="118" t="s">
        <v>137</v>
      </c>
      <c r="C33" s="119" t="s">
        <v>138</v>
      </c>
      <c r="D33" s="120" t="s">
        <v>149</v>
      </c>
      <c r="E33" s="119" t="s">
        <v>137</v>
      </c>
      <c r="F33" s="119" t="s">
        <v>138</v>
      </c>
      <c r="G33" s="120" t="s">
        <v>149</v>
      </c>
      <c r="H33" s="116" t="s">
        <v>308</v>
      </c>
    </row>
    <row r="34" spans="1:8" x14ac:dyDescent="0.25">
      <c r="A34" s="102" t="s">
        <v>4</v>
      </c>
      <c r="B34" s="144">
        <f>1-B35</f>
        <v>1</v>
      </c>
      <c r="C34" s="145">
        <f>1-C35</f>
        <v>1</v>
      </c>
      <c r="D34" s="146">
        <v>0.26</v>
      </c>
      <c r="E34" s="145">
        <v>0.85</v>
      </c>
      <c r="F34" s="145">
        <v>0.7</v>
      </c>
      <c r="G34" s="146">
        <v>0.7</v>
      </c>
      <c r="H34" s="116"/>
    </row>
    <row r="35" spans="1:8" ht="15.75" thickBot="1" x14ac:dyDescent="0.3">
      <c r="A35" s="147" t="s">
        <v>133</v>
      </c>
      <c r="B35" s="148">
        <v>0</v>
      </c>
      <c r="C35" s="149">
        <v>0</v>
      </c>
      <c r="D35" s="150">
        <v>0.74</v>
      </c>
      <c r="E35" s="149">
        <v>0.15</v>
      </c>
      <c r="F35" s="149">
        <v>0.3</v>
      </c>
      <c r="G35" s="150">
        <v>0.3</v>
      </c>
      <c r="H35" s="151"/>
    </row>
  </sheetData>
  <mergeCells count="9">
    <mergeCell ref="A1:D1"/>
    <mergeCell ref="E19:G19"/>
    <mergeCell ref="B19:D19"/>
    <mergeCell ref="E32:G32"/>
    <mergeCell ref="B32:D32"/>
    <mergeCell ref="E26:G26"/>
    <mergeCell ref="B26:D26"/>
    <mergeCell ref="E13:G13"/>
    <mergeCell ref="B13:D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90" zoomScaleNormal="90" workbookViewId="0">
      <selection activeCell="E5" sqref="E5"/>
    </sheetView>
  </sheetViews>
  <sheetFormatPr defaultColWidth="9.140625" defaultRowHeight="15" x14ac:dyDescent="0.25"/>
  <cols>
    <col min="1" max="1" width="22.42578125" style="65" customWidth="1"/>
    <col min="2" max="2" width="14" style="65" customWidth="1"/>
    <col min="3" max="3" width="15" style="65" customWidth="1"/>
    <col min="4" max="4" width="18" style="65" customWidth="1"/>
    <col min="5" max="5" width="10.140625" style="65" customWidth="1"/>
    <col min="6" max="6" width="9.140625" style="65"/>
    <col min="7" max="7" width="22.5703125" style="65" bestFit="1" customWidth="1"/>
    <col min="8" max="8" width="12.42578125" style="65" customWidth="1"/>
    <col min="9" max="9" width="14.7109375" style="65" customWidth="1"/>
    <col min="10" max="10" width="18.42578125" style="65" customWidth="1"/>
    <col min="11" max="11" width="9.7109375" style="65" customWidth="1"/>
    <col min="12" max="16384" width="9.140625" style="65"/>
  </cols>
  <sheetData>
    <row r="1" spans="1:11" x14ac:dyDescent="0.25">
      <c r="A1" s="494" t="s">
        <v>187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s="152" customFormat="1" ht="30" x14ac:dyDescent="0.25">
      <c r="A2" s="48" t="s">
        <v>196</v>
      </c>
      <c r="B2" s="49" t="s">
        <v>188</v>
      </c>
      <c r="C2" s="49" t="s">
        <v>189</v>
      </c>
      <c r="D2" s="49" t="s">
        <v>190</v>
      </c>
      <c r="E2" s="49" t="s">
        <v>191</v>
      </c>
      <c r="F2" s="493"/>
      <c r="G2" s="48" t="s">
        <v>197</v>
      </c>
      <c r="H2" s="49" t="s">
        <v>192</v>
      </c>
      <c r="I2" s="49" t="s">
        <v>193</v>
      </c>
      <c r="J2" s="49" t="s">
        <v>194</v>
      </c>
      <c r="K2" s="49" t="s">
        <v>191</v>
      </c>
    </row>
    <row r="3" spans="1:11" x14ac:dyDescent="0.25">
      <c r="A3" s="84" t="s">
        <v>208</v>
      </c>
      <c r="B3" s="153">
        <v>338</v>
      </c>
      <c r="C3" s="153">
        <f>(4*60+44)*1.1</f>
        <v>312.40000000000003</v>
      </c>
      <c r="D3" s="154">
        <f>B3/(C3/60)</f>
        <v>64.916773367477589</v>
      </c>
      <c r="E3" s="155">
        <v>0.05</v>
      </c>
      <c r="F3" s="493"/>
      <c r="G3" s="84" t="s">
        <v>208</v>
      </c>
      <c r="H3" s="153">
        <f>B3</f>
        <v>338</v>
      </c>
      <c r="I3" s="153">
        <f>(H3*60)/J3</f>
        <v>654.19354838709683</v>
      </c>
      <c r="J3" s="154">
        <v>31</v>
      </c>
      <c r="K3" s="155">
        <v>0.1</v>
      </c>
    </row>
    <row r="4" spans="1:11" x14ac:dyDescent="0.25">
      <c r="A4" s="84" t="s">
        <v>209</v>
      </c>
      <c r="B4" s="153">
        <v>2727</v>
      </c>
      <c r="C4" s="153">
        <f>37*60*1.1</f>
        <v>2442</v>
      </c>
      <c r="D4" s="154">
        <f>B4/(C4/60)</f>
        <v>67.002457002456993</v>
      </c>
      <c r="E4" s="155">
        <v>0</v>
      </c>
      <c r="F4" s="493"/>
      <c r="G4" s="84" t="s">
        <v>209</v>
      </c>
      <c r="H4" s="153">
        <v>3079</v>
      </c>
      <c r="I4" s="153">
        <f t="shared" ref="I4:I8" si="0">(H4*60)/J4</f>
        <v>5959.3548387096771</v>
      </c>
      <c r="J4" s="154">
        <v>31</v>
      </c>
      <c r="K4" s="155">
        <v>0.45</v>
      </c>
    </row>
    <row r="5" spans="1:11" x14ac:dyDescent="0.25">
      <c r="A5" s="84" t="s">
        <v>210</v>
      </c>
      <c r="B5" s="153">
        <v>40</v>
      </c>
      <c r="C5" s="153">
        <v>54</v>
      </c>
      <c r="D5" s="154">
        <f t="shared" ref="D5:D8" si="1">B5/(C5/60)</f>
        <v>44.444444444444443</v>
      </c>
      <c r="E5" s="155">
        <v>0.85</v>
      </c>
      <c r="F5" s="493"/>
      <c r="G5" s="84" t="s">
        <v>210</v>
      </c>
      <c r="H5" s="153">
        <f>B5</f>
        <v>40</v>
      </c>
      <c r="I5" s="153">
        <f t="shared" si="0"/>
        <v>77.41935483870968</v>
      </c>
      <c r="J5" s="154">
        <v>31</v>
      </c>
      <c r="K5" s="155">
        <v>0</v>
      </c>
    </row>
    <row r="6" spans="1:11" x14ac:dyDescent="0.25">
      <c r="A6" s="84" t="s">
        <v>211</v>
      </c>
      <c r="B6" s="153">
        <v>1268</v>
      </c>
      <c r="C6" s="153">
        <f>(17*60+44)*1.1</f>
        <v>1170.4000000000001</v>
      </c>
      <c r="D6" s="154">
        <f t="shared" si="1"/>
        <v>65.00341763499658</v>
      </c>
      <c r="E6" s="155">
        <v>0</v>
      </c>
      <c r="F6" s="493"/>
      <c r="G6" s="84" t="s">
        <v>211</v>
      </c>
      <c r="H6" s="153">
        <f>B6</f>
        <v>1268</v>
      </c>
      <c r="I6" s="153">
        <f t="shared" si="0"/>
        <v>2454.1935483870966</v>
      </c>
      <c r="J6" s="154">
        <v>31</v>
      </c>
      <c r="K6" s="155">
        <v>0.15</v>
      </c>
    </row>
    <row r="7" spans="1:11" x14ac:dyDescent="0.25">
      <c r="A7" s="84" t="s">
        <v>212</v>
      </c>
      <c r="B7" s="153">
        <v>469</v>
      </c>
      <c r="C7" s="153">
        <f>(6*60+29)*1.1</f>
        <v>427.90000000000003</v>
      </c>
      <c r="D7" s="154">
        <f t="shared" si="1"/>
        <v>65.763028745033878</v>
      </c>
      <c r="E7" s="155">
        <v>0.05</v>
      </c>
      <c r="F7" s="493"/>
      <c r="G7" s="84" t="s">
        <v>212</v>
      </c>
      <c r="H7" s="153">
        <f>B7</f>
        <v>469</v>
      </c>
      <c r="I7" s="153">
        <f t="shared" si="0"/>
        <v>907.74193548387098</v>
      </c>
      <c r="J7" s="154">
        <v>31</v>
      </c>
      <c r="K7" s="155">
        <v>0.1</v>
      </c>
    </row>
    <row r="8" spans="1:11" x14ac:dyDescent="0.25">
      <c r="A8" s="84" t="s">
        <v>213</v>
      </c>
      <c r="B8" s="153">
        <v>943</v>
      </c>
      <c r="C8" s="153">
        <f>(13*60+2)*1.1</f>
        <v>860.2</v>
      </c>
      <c r="D8" s="154">
        <f t="shared" si="1"/>
        <v>65.775401069518708</v>
      </c>
      <c r="E8" s="155">
        <v>0.05</v>
      </c>
      <c r="F8" s="493"/>
      <c r="G8" s="84" t="s">
        <v>213</v>
      </c>
      <c r="H8" s="153">
        <f>B8</f>
        <v>943</v>
      </c>
      <c r="I8" s="153">
        <f t="shared" si="0"/>
        <v>1825.1612903225807</v>
      </c>
      <c r="J8" s="154">
        <v>31</v>
      </c>
      <c r="K8" s="155">
        <v>0.2</v>
      </c>
    </row>
    <row r="9" spans="1:11" x14ac:dyDescent="0.25">
      <c r="A9" s="16" t="s">
        <v>195</v>
      </c>
      <c r="B9" s="36">
        <f>B3*$E$3+B4*$E$4+B5*$E$5+B6*$E$6+B7*$E$7+B8*$E$8</f>
        <v>121.50000000000001</v>
      </c>
      <c r="C9" s="37">
        <f>C3*$E$3+C4*$E$4+C5*$E$5+C6*$E$6+C7*$E$7+C8*$E$8</f>
        <v>125.92500000000001</v>
      </c>
      <c r="D9" s="37">
        <f>D3*$E$3+D4*$E$4+D5*$E$5+D6*$E$6+D7*$E$7+D8*$E$8</f>
        <v>47.600537936879284</v>
      </c>
      <c r="E9" s="38">
        <f>SUM(E3:E8)</f>
        <v>1</v>
      </c>
      <c r="F9" s="493"/>
      <c r="G9" s="16" t="s">
        <v>195</v>
      </c>
      <c r="H9" s="36">
        <f>H3*$K$3+H4*$K$4+H5*$K$5+H6*$K$6+H7*$K$7+H8*$K$8</f>
        <v>1845.0500000000002</v>
      </c>
      <c r="I9" s="36">
        <f>I3*$K$3+I4*$K$4+I5*$K$5+I6*$K$6+I7*$K$7+I8*$K$8</f>
        <v>3571.0645161290322</v>
      </c>
      <c r="J9" s="36">
        <f>J3*$K$3+J4*$K$4+J5*$K$5+J6*$K$6+J7*$K$7+J8*$K$8</f>
        <v>31</v>
      </c>
      <c r="K9" s="38">
        <f>SUM(K3:K8)</f>
        <v>1</v>
      </c>
    </row>
    <row r="11" spans="1:11" x14ac:dyDescent="0.25">
      <c r="A11" s="494" t="s">
        <v>198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</row>
    <row r="12" spans="1:11" s="152" customFormat="1" ht="30" x14ac:dyDescent="0.25">
      <c r="A12" s="48" t="s">
        <v>196</v>
      </c>
      <c r="B12" s="49" t="s">
        <v>188</v>
      </c>
      <c r="C12" s="49" t="s">
        <v>189</v>
      </c>
      <c r="D12" s="49" t="s">
        <v>190</v>
      </c>
      <c r="E12" s="49" t="s">
        <v>191</v>
      </c>
      <c r="F12" s="493"/>
      <c r="G12" s="48" t="s">
        <v>197</v>
      </c>
      <c r="H12" s="49" t="s">
        <v>192</v>
      </c>
      <c r="I12" s="49" t="s">
        <v>193</v>
      </c>
      <c r="J12" s="49" t="s">
        <v>194</v>
      </c>
      <c r="K12" s="49" t="s">
        <v>191</v>
      </c>
    </row>
    <row r="13" spans="1:11" x14ac:dyDescent="0.25">
      <c r="A13" s="84" t="s">
        <v>208</v>
      </c>
      <c r="B13" s="153">
        <v>148</v>
      </c>
      <c r="C13" s="153">
        <f>128*1.1</f>
        <v>140.80000000000001</v>
      </c>
      <c r="D13" s="154">
        <f>B13/(C13/60)</f>
        <v>63.06818181818182</v>
      </c>
      <c r="E13" s="155">
        <v>0.25</v>
      </c>
      <c r="F13" s="493"/>
      <c r="G13" s="84" t="s">
        <v>208</v>
      </c>
      <c r="H13" s="153">
        <f>B13</f>
        <v>148</v>
      </c>
      <c r="I13" s="153">
        <f>(H13*60)/J13</f>
        <v>286.45161290322579</v>
      </c>
      <c r="J13" s="154">
        <v>31</v>
      </c>
      <c r="K13" s="155">
        <v>0.05</v>
      </c>
    </row>
    <row r="14" spans="1:11" x14ac:dyDescent="0.25">
      <c r="A14" s="84" t="s">
        <v>209</v>
      </c>
      <c r="B14" s="153">
        <v>2518</v>
      </c>
      <c r="C14" s="153">
        <f>34*60*1.1</f>
        <v>2244</v>
      </c>
      <c r="D14" s="154">
        <f>B14/(C14/60)</f>
        <v>67.326203208556151</v>
      </c>
      <c r="E14" s="155">
        <v>0</v>
      </c>
      <c r="F14" s="493"/>
      <c r="G14" s="84" t="s">
        <v>209</v>
      </c>
      <c r="H14" s="153">
        <v>2869</v>
      </c>
      <c r="I14" s="153">
        <f t="shared" ref="I14:I18" si="2">(H14*60)/J14</f>
        <v>5552.9032258064517</v>
      </c>
      <c r="J14" s="154">
        <v>31</v>
      </c>
      <c r="K14" s="155">
        <v>0.4</v>
      </c>
    </row>
    <row r="15" spans="1:11" x14ac:dyDescent="0.25">
      <c r="A15" s="84" t="s">
        <v>210</v>
      </c>
      <c r="B15" s="153">
        <v>234</v>
      </c>
      <c r="C15" s="153">
        <f>(3*60+15)*1.1</f>
        <v>214.50000000000003</v>
      </c>
      <c r="D15" s="154">
        <f t="shared" ref="D15:D18" si="3">B15/(C15/60)</f>
        <v>65.454545454545439</v>
      </c>
      <c r="E15" s="155">
        <v>0.45</v>
      </c>
      <c r="F15" s="493"/>
      <c r="G15" s="84" t="s">
        <v>210</v>
      </c>
      <c r="H15" s="153">
        <f>B15</f>
        <v>234</v>
      </c>
      <c r="I15" s="153">
        <f t="shared" si="2"/>
        <v>452.90322580645159</v>
      </c>
      <c r="J15" s="154">
        <v>31</v>
      </c>
      <c r="K15" s="155">
        <v>0.05</v>
      </c>
    </row>
    <row r="16" spans="1:11" x14ac:dyDescent="0.25">
      <c r="A16" s="84" t="s">
        <v>211</v>
      </c>
      <c r="B16" s="153">
        <v>1079</v>
      </c>
      <c r="C16" s="153">
        <f>(15*60+9)*1.1</f>
        <v>999.90000000000009</v>
      </c>
      <c r="D16" s="154">
        <f t="shared" si="3"/>
        <v>64.746474647464737</v>
      </c>
      <c r="E16" s="155">
        <v>0</v>
      </c>
      <c r="F16" s="493"/>
      <c r="G16" s="84" t="s">
        <v>211</v>
      </c>
      <c r="H16" s="153">
        <f>B16</f>
        <v>1079</v>
      </c>
      <c r="I16" s="153">
        <f t="shared" si="2"/>
        <v>2088.3870967741937</v>
      </c>
      <c r="J16" s="154">
        <v>31</v>
      </c>
      <c r="K16" s="155">
        <v>0.4</v>
      </c>
    </row>
    <row r="17" spans="1:11" x14ac:dyDescent="0.25">
      <c r="A17" s="84" t="s">
        <v>212</v>
      </c>
      <c r="B17" s="153">
        <v>280</v>
      </c>
      <c r="C17" s="153">
        <f>(60*3+53)*1.1</f>
        <v>256.3</v>
      </c>
      <c r="D17" s="154">
        <f t="shared" si="3"/>
        <v>65.548185719859546</v>
      </c>
      <c r="E17" s="155">
        <v>0.1</v>
      </c>
      <c r="F17" s="493"/>
      <c r="G17" s="84" t="s">
        <v>212</v>
      </c>
      <c r="H17" s="153">
        <f>B17</f>
        <v>280</v>
      </c>
      <c r="I17" s="153">
        <f t="shared" si="2"/>
        <v>541.93548387096769</v>
      </c>
      <c r="J17" s="154">
        <v>31</v>
      </c>
      <c r="K17" s="155">
        <v>0.05</v>
      </c>
    </row>
    <row r="18" spans="1:11" x14ac:dyDescent="0.25">
      <c r="A18" s="84" t="s">
        <v>213</v>
      </c>
      <c r="B18" s="153">
        <v>754</v>
      </c>
      <c r="C18" s="153">
        <f>(60*10+27)*1.1</f>
        <v>689.7</v>
      </c>
      <c r="D18" s="154">
        <f t="shared" si="3"/>
        <v>65.593736407133534</v>
      </c>
      <c r="E18" s="155">
        <v>0.2</v>
      </c>
      <c r="F18" s="493"/>
      <c r="G18" s="84" t="s">
        <v>213</v>
      </c>
      <c r="H18" s="153">
        <f>B18</f>
        <v>754</v>
      </c>
      <c r="I18" s="153">
        <f t="shared" si="2"/>
        <v>1459.3548387096773</v>
      </c>
      <c r="J18" s="154">
        <v>31</v>
      </c>
      <c r="K18" s="155">
        <v>0.05</v>
      </c>
    </row>
    <row r="19" spans="1:11" x14ac:dyDescent="0.25">
      <c r="A19" s="16" t="s">
        <v>195</v>
      </c>
      <c r="B19" s="36">
        <f>B13*$E$13+B14*$E$14+B15*$E$15+B16*$E$16+B17*$E$17+B18*$E$18</f>
        <v>321.10000000000002</v>
      </c>
      <c r="C19" s="36">
        <f>C13*$E$13+C14*$E$14+C15*$E$15+C16*$E$16+C17*$E$17+C18*$E$18</f>
        <v>295.29500000000007</v>
      </c>
      <c r="D19" s="36">
        <f>D13*$E$13+D14*$E$14+D15*$E$15+D16*$E$16+D17*$E$17+D18*$E$18</f>
        <v>64.895156762503575</v>
      </c>
      <c r="E19" s="38">
        <f>SUM(E13:E18)</f>
        <v>1</v>
      </c>
      <c r="F19" s="493"/>
      <c r="G19" s="16" t="s">
        <v>195</v>
      </c>
      <c r="H19" s="36">
        <f>H13*$K$13+H14*$K$14+H15*$K$15+H16*$K$16+H17*$K$17+H18*$K$18</f>
        <v>1650.0000000000002</v>
      </c>
      <c r="I19" s="36">
        <f>I13*$K$13+I14*$K$14+I15*$K$15+I16*$K$16+I17*$K$17+I18*$K$18</f>
        <v>3193.5483870967746</v>
      </c>
      <c r="J19" s="36">
        <f>J13*$K$3+J14*$K$4+J15*$K$5+J16*$K$6+J17*$K$7+J18*$K$8</f>
        <v>31</v>
      </c>
      <c r="K19" s="38">
        <f>SUM(K13:K18)</f>
        <v>1</v>
      </c>
    </row>
    <row r="21" spans="1:11" x14ac:dyDescent="0.25">
      <c r="A21" s="494" t="s">
        <v>199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</row>
    <row r="22" spans="1:11" s="152" customFormat="1" ht="30" x14ac:dyDescent="0.25">
      <c r="A22" s="48" t="s">
        <v>196</v>
      </c>
      <c r="B22" s="49" t="s">
        <v>188</v>
      </c>
      <c r="C22" s="49" t="s">
        <v>189</v>
      </c>
      <c r="D22" s="49" t="s">
        <v>190</v>
      </c>
      <c r="E22" s="49" t="s">
        <v>191</v>
      </c>
      <c r="F22" s="493"/>
      <c r="G22" s="48" t="s">
        <v>197</v>
      </c>
      <c r="H22" s="49" t="s">
        <v>192</v>
      </c>
      <c r="I22" s="49" t="s">
        <v>193</v>
      </c>
      <c r="J22" s="49" t="s">
        <v>194</v>
      </c>
      <c r="K22" s="49" t="s">
        <v>191</v>
      </c>
    </row>
    <row r="23" spans="1:11" x14ac:dyDescent="0.25">
      <c r="A23" s="84" t="s">
        <v>208</v>
      </c>
      <c r="B23" s="153">
        <v>346</v>
      </c>
      <c r="C23" s="153">
        <f>(4*60+42)*1.1</f>
        <v>310.20000000000005</v>
      </c>
      <c r="D23" s="154">
        <f>B23/(C23/60)</f>
        <v>66.924564796905216</v>
      </c>
      <c r="E23" s="155">
        <v>0.05</v>
      </c>
      <c r="F23" s="493"/>
      <c r="G23" s="84" t="s">
        <v>208</v>
      </c>
      <c r="H23" s="153">
        <f>B23</f>
        <v>346</v>
      </c>
      <c r="I23" s="153">
        <f>(H23*60)/J23</f>
        <v>669.67741935483866</v>
      </c>
      <c r="J23" s="154">
        <v>31</v>
      </c>
      <c r="K23" s="155">
        <v>0</v>
      </c>
    </row>
    <row r="24" spans="1:11" x14ac:dyDescent="0.25">
      <c r="A24" s="84" t="s">
        <v>209</v>
      </c>
      <c r="B24" s="153">
        <v>2188</v>
      </c>
      <c r="C24" s="153">
        <f>30*60*1.1</f>
        <v>1980.0000000000002</v>
      </c>
      <c r="D24" s="154">
        <f>B24/(C24/60)</f>
        <v>66.303030303030283</v>
      </c>
      <c r="E24" s="155">
        <v>0</v>
      </c>
      <c r="F24" s="493"/>
      <c r="G24" s="84" t="s">
        <v>209</v>
      </c>
      <c r="H24" s="153">
        <v>2432</v>
      </c>
      <c r="I24" s="153">
        <f t="shared" ref="I24:I28" si="4">(H24*60)/J24</f>
        <v>4707.0967741935483</v>
      </c>
      <c r="J24" s="154">
        <v>31</v>
      </c>
      <c r="K24" s="155">
        <v>0.35</v>
      </c>
    </row>
    <row r="25" spans="1:11" x14ac:dyDescent="0.25">
      <c r="A25" s="84" t="s">
        <v>210</v>
      </c>
      <c r="B25" s="153">
        <v>662</v>
      </c>
      <c r="C25" s="153">
        <f>(8*60+55)*1.1</f>
        <v>588.5</v>
      </c>
      <c r="D25" s="154">
        <f t="shared" ref="D25:D28" si="5">B25/(C25/60)</f>
        <v>67.493627867459637</v>
      </c>
      <c r="E25" s="155">
        <v>0</v>
      </c>
      <c r="F25" s="493"/>
      <c r="G25" s="84" t="s">
        <v>210</v>
      </c>
      <c r="H25" s="153">
        <f>B25</f>
        <v>662</v>
      </c>
      <c r="I25" s="153">
        <f t="shared" si="4"/>
        <v>1281.2903225806451</v>
      </c>
      <c r="J25" s="154">
        <v>31</v>
      </c>
      <c r="K25" s="155">
        <v>0</v>
      </c>
    </row>
    <row r="26" spans="1:11" x14ac:dyDescent="0.25">
      <c r="A26" s="84" t="s">
        <v>211</v>
      </c>
      <c r="B26" s="153">
        <v>882</v>
      </c>
      <c r="C26" s="153">
        <f>(12*60+43)*1.1</f>
        <v>839.30000000000007</v>
      </c>
      <c r="D26" s="154">
        <f t="shared" si="5"/>
        <v>63.052543786488734</v>
      </c>
      <c r="E26" s="155">
        <v>0</v>
      </c>
      <c r="F26" s="493"/>
      <c r="G26" s="84" t="s">
        <v>211</v>
      </c>
      <c r="H26" s="153">
        <f>B26</f>
        <v>882</v>
      </c>
      <c r="I26" s="153">
        <f t="shared" si="4"/>
        <v>1707.0967741935483</v>
      </c>
      <c r="J26" s="154">
        <v>31</v>
      </c>
      <c r="K26" s="155">
        <v>0.05</v>
      </c>
    </row>
    <row r="27" spans="1:11" x14ac:dyDescent="0.25">
      <c r="A27" s="84" t="s">
        <v>212</v>
      </c>
      <c r="B27" s="153">
        <v>248</v>
      </c>
      <c r="C27" s="153">
        <f>(3*60+25)*1.1</f>
        <v>225.50000000000003</v>
      </c>
      <c r="D27" s="154">
        <f t="shared" si="5"/>
        <v>65.986696230598668</v>
      </c>
      <c r="E27" s="155">
        <v>0.85</v>
      </c>
      <c r="F27" s="493"/>
      <c r="G27" s="84" t="s">
        <v>212</v>
      </c>
      <c r="H27" s="153">
        <f>B27</f>
        <v>248</v>
      </c>
      <c r="I27" s="153">
        <f t="shared" si="4"/>
        <v>480</v>
      </c>
      <c r="J27" s="154">
        <v>31</v>
      </c>
      <c r="K27" s="155">
        <v>0.55000000000000004</v>
      </c>
    </row>
    <row r="28" spans="1:11" x14ac:dyDescent="0.25">
      <c r="A28" s="84" t="s">
        <v>213</v>
      </c>
      <c r="B28" s="153">
        <v>595</v>
      </c>
      <c r="C28" s="153">
        <f>(8*60+18)*1.1</f>
        <v>547.80000000000007</v>
      </c>
      <c r="D28" s="154">
        <f t="shared" si="5"/>
        <v>65.169769989047097</v>
      </c>
      <c r="E28" s="155">
        <v>0.1</v>
      </c>
      <c r="F28" s="493"/>
      <c r="G28" s="84" t="s">
        <v>213</v>
      </c>
      <c r="H28" s="153">
        <f>B28</f>
        <v>595</v>
      </c>
      <c r="I28" s="153">
        <f t="shared" si="4"/>
        <v>1151.6129032258063</v>
      </c>
      <c r="J28" s="154">
        <v>31</v>
      </c>
      <c r="K28" s="155">
        <v>0.05</v>
      </c>
    </row>
    <row r="29" spans="1:11" x14ac:dyDescent="0.25">
      <c r="A29" s="16" t="s">
        <v>195</v>
      </c>
      <c r="B29" s="36">
        <f>B23*$E$23+B24*$E$24+B25*$E$25+B26*$E$26+B27*$E$27+B28*$E$28</f>
        <v>287.60000000000002</v>
      </c>
      <c r="C29" s="36">
        <f>C23*$E$23+C24*$E$24+C25*$E$25+C26*$E$26+C27*$E$27+C28*$E$28</f>
        <v>261.96500000000003</v>
      </c>
      <c r="D29" s="37">
        <f>D23*$E$23+D24*$E$24+D25*$E$25+D26*$E$26+D27*$E$27+D28*$E$28</f>
        <v>65.951897034758844</v>
      </c>
      <c r="E29" s="38">
        <f>SUM(E23:E28)</f>
        <v>1</v>
      </c>
      <c r="F29" s="493"/>
      <c r="G29" s="16" t="s">
        <v>195</v>
      </c>
      <c r="H29" s="36">
        <f>H23*$K$23+H24*$K$24+H25*$K$25+H26*$K$26+H27*$K$27+H28*$K$28</f>
        <v>1061.45</v>
      </c>
      <c r="I29" s="36">
        <f>I23*$K$23+I24*$K$24+I25*$K$25+I26*$K$26+I27*$K$27+I28*$K$28</f>
        <v>2054.4193548387093</v>
      </c>
      <c r="J29" s="36">
        <f>J23*$K$3+J24*$K$4+J25*$K$5+J26*$K$6+J27*$K$7+J28*$K$8</f>
        <v>31</v>
      </c>
      <c r="K29" s="38">
        <f>SUM(K23:K28)</f>
        <v>1</v>
      </c>
    </row>
    <row r="31" spans="1:11" x14ac:dyDescent="0.25">
      <c r="A31" s="65" t="s">
        <v>214</v>
      </c>
    </row>
    <row r="32" spans="1:11" x14ac:dyDescent="0.25">
      <c r="A32" s="65" t="s">
        <v>216</v>
      </c>
    </row>
    <row r="33" spans="1:1" x14ac:dyDescent="0.25">
      <c r="A33" s="65" t="s">
        <v>215</v>
      </c>
    </row>
    <row r="34" spans="1:1" x14ac:dyDescent="0.25">
      <c r="A34" s="65" t="s">
        <v>217</v>
      </c>
    </row>
  </sheetData>
  <mergeCells count="6">
    <mergeCell ref="F22:F29"/>
    <mergeCell ref="A11:K11"/>
    <mergeCell ref="A1:K1"/>
    <mergeCell ref="A21:K21"/>
    <mergeCell ref="F2:F9"/>
    <mergeCell ref="F12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Monetized Values and Factors</vt:lpstr>
      <vt:lpstr>BCA Results</vt:lpstr>
      <vt:lpstr>InflationAdjustment</vt:lpstr>
      <vt:lpstr>Emissions - Truck</vt:lpstr>
      <vt:lpstr>Emissions - Rail</vt:lpstr>
      <vt:lpstr>Crash Rates</vt:lpstr>
      <vt:lpstr>Project Costs</vt:lpstr>
      <vt:lpstr>Other Factors</vt:lpstr>
      <vt:lpstr>Without Project Port Usage</vt:lpstr>
      <vt:lpstr>Trip Calculation</vt:lpstr>
      <vt:lpstr>VMT Ton-Mile Driver Time</vt:lpstr>
      <vt:lpstr>State of Good Repair</vt:lpstr>
      <vt:lpstr>Economic Competitiveness</vt:lpstr>
      <vt:lpstr>Environmental</vt:lpstr>
      <vt:lpstr> Safety</vt:lpstr>
      <vt:lpstr>Summary of Benefits</vt:lpstr>
      <vt:lpstr>Summary of Costs</vt:lpstr>
    </vt:vector>
  </TitlesOfParts>
  <Company>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Ogonowski, Peter</dc:creator>
  <cp:lastModifiedBy>Peter Ogonowski</cp:lastModifiedBy>
  <dcterms:created xsi:type="dcterms:W3CDTF">2011-09-19T17:32:45Z</dcterms:created>
  <dcterms:modified xsi:type="dcterms:W3CDTF">2018-07-16T20:09:29Z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